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5005\Downloads\"/>
    </mc:Choice>
  </mc:AlternateContent>
  <xr:revisionPtr revIDLastSave="0" documentId="13_ncr:1_{8F819ADB-D56C-4E60-A891-3B737FF91D7E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Painel" sheetId="1" r:id="rId1"/>
    <sheet name="Legenda" sheetId="4" r:id="rId2"/>
    <sheet name="DadosPCS" sheetId="2" r:id="rId3"/>
    <sheet name="DadosNovoPC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H68" i="1" s="1"/>
  <c r="I68" i="1" s="1"/>
  <c r="C68" i="1"/>
  <c r="E68" i="1" s="1"/>
  <c r="F68" i="1" s="1"/>
  <c r="B68" i="1"/>
  <c r="D68" i="1" s="1"/>
  <c r="H67" i="1"/>
  <c r="I67" i="1" s="1"/>
  <c r="G67" i="1"/>
  <c r="C67" i="1"/>
  <c r="B67" i="1"/>
  <c r="D67" i="1" s="1"/>
  <c r="G66" i="1"/>
  <c r="H66" i="1" s="1"/>
  <c r="I66" i="1" s="1"/>
  <c r="C66" i="1"/>
  <c r="B66" i="1"/>
  <c r="D66" i="1" s="1"/>
  <c r="E66" i="1" s="1"/>
  <c r="F66" i="1" s="1"/>
  <c r="G65" i="1"/>
  <c r="H65" i="1" s="1"/>
  <c r="I65" i="1" s="1"/>
  <c r="C65" i="1"/>
  <c r="E65" i="1" s="1"/>
  <c r="F65" i="1" s="1"/>
  <c r="B65" i="1"/>
  <c r="D65" i="1" s="1"/>
  <c r="H64" i="1"/>
  <c r="I64" i="1" s="1"/>
  <c r="G64" i="1"/>
  <c r="C64" i="1"/>
  <c r="B64" i="1"/>
  <c r="D64" i="1" s="1"/>
  <c r="H63" i="1"/>
  <c r="I63" i="1" s="1"/>
  <c r="G63" i="1"/>
  <c r="C63" i="1"/>
  <c r="B63" i="1"/>
  <c r="D63" i="1" s="1"/>
  <c r="E63" i="1" s="1"/>
  <c r="F63" i="1" s="1"/>
  <c r="G62" i="1"/>
  <c r="H62" i="1" s="1"/>
  <c r="I62" i="1" s="1"/>
  <c r="C62" i="1"/>
  <c r="B62" i="1"/>
  <c r="D62" i="1" s="1"/>
  <c r="E62" i="1" s="1"/>
  <c r="F62" i="1" s="1"/>
  <c r="G61" i="1"/>
  <c r="H61" i="1" s="1"/>
  <c r="I61" i="1" s="1"/>
  <c r="C61" i="1"/>
  <c r="E61" i="1" s="1"/>
  <c r="F61" i="1" s="1"/>
  <c r="B61" i="1"/>
  <c r="D61" i="1" s="1"/>
  <c r="H60" i="1"/>
  <c r="I60" i="1" s="1"/>
  <c r="G60" i="1"/>
  <c r="C60" i="1"/>
  <c r="E60" i="1" s="1"/>
  <c r="F60" i="1" s="1"/>
  <c r="B60" i="1"/>
  <c r="D60" i="1" s="1"/>
  <c r="H59" i="1"/>
  <c r="I59" i="1" s="1"/>
  <c r="G59" i="1"/>
  <c r="C59" i="1"/>
  <c r="B59" i="1"/>
  <c r="D59" i="1" s="1"/>
  <c r="E59" i="1" s="1"/>
  <c r="F59" i="1" s="1"/>
  <c r="G58" i="1"/>
  <c r="H58" i="1" s="1"/>
  <c r="I58" i="1" s="1"/>
  <c r="C58" i="1"/>
  <c r="B58" i="1"/>
  <c r="D58" i="1" s="1"/>
  <c r="E58" i="1" s="1"/>
  <c r="F58" i="1" s="1"/>
  <c r="C57" i="1"/>
  <c r="B57" i="1"/>
  <c r="D57" i="1" s="1"/>
  <c r="C56" i="1"/>
  <c r="B56" i="1"/>
  <c r="D56" i="1" s="1"/>
  <c r="C55" i="1"/>
  <c r="B55" i="1"/>
  <c r="D55" i="1" s="1"/>
  <c r="C54" i="1"/>
  <c r="B54" i="1"/>
  <c r="D54" i="1" s="1"/>
  <c r="C53" i="1"/>
  <c r="B53" i="1"/>
  <c r="D53" i="1" s="1"/>
  <c r="C52" i="1"/>
  <c r="B52" i="1"/>
  <c r="D52" i="1" s="1"/>
  <c r="C51" i="1"/>
  <c r="B51" i="1"/>
  <c r="D51" i="1" s="1"/>
  <c r="C50" i="1"/>
  <c r="B50" i="1"/>
  <c r="D50" i="1" s="1"/>
  <c r="C49" i="1"/>
  <c r="B49" i="1"/>
  <c r="D49" i="1" s="1"/>
  <c r="C48" i="1"/>
  <c r="B48" i="1"/>
  <c r="D48" i="1" s="1"/>
  <c r="C47" i="1"/>
  <c r="B47" i="1"/>
  <c r="D47" i="1" s="1"/>
  <c r="C46" i="1"/>
  <c r="B46" i="1"/>
  <c r="D46" i="1" s="1"/>
  <c r="C45" i="1"/>
  <c r="B45" i="1"/>
  <c r="D45" i="1" s="1"/>
  <c r="C44" i="1"/>
  <c r="B44" i="1"/>
  <c r="D44" i="1" s="1"/>
  <c r="C43" i="1"/>
  <c r="B43" i="1"/>
  <c r="D43" i="1" s="1"/>
  <c r="C42" i="1"/>
  <c r="B42" i="1"/>
  <c r="D42" i="1" s="1"/>
  <c r="C41" i="1"/>
  <c r="B41" i="1"/>
  <c r="D41" i="1" s="1"/>
  <c r="C40" i="1"/>
  <c r="B40" i="1"/>
  <c r="D40" i="1" s="1"/>
  <c r="C39" i="1"/>
  <c r="B39" i="1"/>
  <c r="D39" i="1" s="1"/>
  <c r="C38" i="1"/>
  <c r="B38" i="1"/>
  <c r="D38" i="1" s="1"/>
  <c r="C37" i="1"/>
  <c r="B37" i="1"/>
  <c r="D37" i="1" s="1"/>
  <c r="C36" i="1"/>
  <c r="B36" i="1"/>
  <c r="D36" i="1" s="1"/>
  <c r="C35" i="1"/>
  <c r="B35" i="1"/>
  <c r="D35" i="1" s="1"/>
  <c r="C34" i="1"/>
  <c r="B34" i="1"/>
  <c r="D34" i="1" s="1"/>
  <c r="C33" i="1"/>
  <c r="B33" i="1"/>
  <c r="D33" i="1" s="1"/>
  <c r="C32" i="1"/>
  <c r="B32" i="1"/>
  <c r="D32" i="1" s="1"/>
  <c r="C31" i="1"/>
  <c r="B31" i="1"/>
  <c r="D31" i="1" s="1"/>
  <c r="C30" i="1"/>
  <c r="B30" i="1"/>
  <c r="D30" i="1" s="1"/>
  <c r="C29" i="1"/>
  <c r="B29" i="1"/>
  <c r="D29" i="1" s="1"/>
  <c r="B19" i="1"/>
  <c r="B17" i="1"/>
  <c r="B18" i="1" s="1"/>
  <c r="B16" i="1"/>
  <c r="E12" i="1"/>
  <c r="E50" i="1" l="1"/>
  <c r="E42" i="1"/>
  <c r="F42" i="1" s="1"/>
  <c r="E67" i="1"/>
  <c r="F67" i="1" s="1"/>
  <c r="E64" i="1"/>
  <c r="F64" i="1" s="1"/>
  <c r="E30" i="1"/>
  <c r="F30" i="1" s="1"/>
  <c r="E46" i="1"/>
  <c r="F46" i="1" s="1"/>
  <c r="E36" i="1"/>
  <c r="F36" i="1" s="1"/>
  <c r="E54" i="1"/>
  <c r="F54" i="1" s="1"/>
  <c r="E37" i="1"/>
  <c r="F37" i="1" s="1"/>
  <c r="F50" i="1"/>
  <c r="E45" i="1"/>
  <c r="F45" i="1" s="1"/>
  <c r="E52" i="1"/>
  <c r="F52" i="1" s="1"/>
  <c r="E39" i="1"/>
  <c r="F39" i="1" s="1"/>
  <c r="E49" i="1"/>
  <c r="F49" i="1" s="1"/>
  <c r="E56" i="1"/>
  <c r="F56" i="1" s="1"/>
  <c r="E43" i="1"/>
  <c r="F43" i="1" s="1"/>
  <c r="E53" i="1"/>
  <c r="F53" i="1" s="1"/>
  <c r="E40" i="1"/>
  <c r="F40" i="1" s="1"/>
  <c r="E47" i="1"/>
  <c r="F47" i="1" s="1"/>
  <c r="E57" i="1"/>
  <c r="F57" i="1" s="1"/>
  <c r="E44" i="1"/>
  <c r="F44" i="1" s="1"/>
  <c r="E51" i="1"/>
  <c r="F51" i="1" s="1"/>
  <c r="E41" i="1"/>
  <c r="F41" i="1" s="1"/>
  <c r="E48" i="1"/>
  <c r="F48" i="1" s="1"/>
  <c r="E55" i="1"/>
  <c r="F55" i="1" s="1"/>
  <c r="E29" i="1"/>
  <c r="F29" i="1" s="1"/>
  <c r="E35" i="1"/>
  <c r="F35" i="1" s="1"/>
  <c r="E32" i="1"/>
  <c r="F32" i="1" s="1"/>
  <c r="E33" i="1"/>
  <c r="F33" i="1" s="1"/>
  <c r="E31" i="1"/>
  <c r="F31" i="1" s="1"/>
  <c r="B20" i="1"/>
  <c r="E38" i="1"/>
  <c r="F38" i="1" s="1"/>
  <c r="E34" i="1"/>
  <c r="F34" i="1" s="1"/>
  <c r="L25" i="1" l="1"/>
  <c r="B21" i="1"/>
  <c r="H10" i="1"/>
  <c r="H8" i="1"/>
  <c r="G41" i="1" l="1"/>
  <c r="H41" i="1" s="1"/>
  <c r="I41" i="1" s="1"/>
  <c r="G48" i="1"/>
  <c r="H48" i="1" s="1"/>
  <c r="I48" i="1" s="1"/>
  <c r="G47" i="1"/>
  <c r="H47" i="1" s="1"/>
  <c r="I47" i="1" s="1"/>
  <c r="G42" i="1"/>
  <c r="H42" i="1" s="1"/>
  <c r="I42" i="1" s="1"/>
  <c r="G56" i="1"/>
  <c r="H56" i="1" s="1"/>
  <c r="I56" i="1" s="1"/>
  <c r="G40" i="1"/>
  <c r="H40" i="1" s="1"/>
  <c r="I40" i="1" s="1"/>
  <c r="G50" i="1"/>
  <c r="H50" i="1" s="1"/>
  <c r="I50" i="1" s="1"/>
  <c r="G55" i="1"/>
  <c r="H55" i="1" s="1"/>
  <c r="I55" i="1" s="1"/>
  <c r="G57" i="1"/>
  <c r="H57" i="1" s="1"/>
  <c r="I57" i="1" s="1"/>
  <c r="G52" i="1"/>
  <c r="H52" i="1" s="1"/>
  <c r="I52" i="1" s="1"/>
  <c r="G43" i="1"/>
  <c r="H43" i="1" s="1"/>
  <c r="I43" i="1" s="1"/>
  <c r="G53" i="1"/>
  <c r="H53" i="1" s="1"/>
  <c r="I53" i="1" s="1"/>
  <c r="G45" i="1"/>
  <c r="H45" i="1" s="1"/>
  <c r="I45" i="1" s="1"/>
  <c r="G54" i="1"/>
  <c r="H54" i="1" s="1"/>
  <c r="I54" i="1" s="1"/>
  <c r="G49" i="1"/>
  <c r="H49" i="1" s="1"/>
  <c r="I49" i="1" s="1"/>
  <c r="G51" i="1"/>
  <c r="H51" i="1" s="1"/>
  <c r="I51" i="1" s="1"/>
  <c r="G46" i="1"/>
  <c r="H46" i="1" s="1"/>
  <c r="I46" i="1" s="1"/>
  <c r="G39" i="1"/>
  <c r="H39" i="1" s="1"/>
  <c r="I39" i="1" s="1"/>
  <c r="G44" i="1"/>
  <c r="H44" i="1" s="1"/>
  <c r="I44" i="1" s="1"/>
  <c r="G36" i="1"/>
  <c r="H36" i="1" s="1"/>
  <c r="I36" i="1" s="1"/>
  <c r="G32" i="1"/>
  <c r="H32" i="1" s="1"/>
  <c r="I32" i="1" s="1"/>
  <c r="G37" i="1"/>
  <c r="H37" i="1" s="1"/>
  <c r="I37" i="1" s="1"/>
  <c r="G33" i="1"/>
  <c r="H33" i="1" s="1"/>
  <c r="I33" i="1" s="1"/>
  <c r="G29" i="1"/>
  <c r="H29" i="1" s="1"/>
  <c r="I29" i="1" s="1"/>
  <c r="G38" i="1"/>
  <c r="H38" i="1" s="1"/>
  <c r="I38" i="1" s="1"/>
  <c r="G34" i="1"/>
  <c r="H34" i="1" s="1"/>
  <c r="I34" i="1" s="1"/>
  <c r="G30" i="1"/>
  <c r="H30" i="1" s="1"/>
  <c r="I30" i="1" s="1"/>
  <c r="E10" i="1"/>
  <c r="G31" i="1"/>
  <c r="H31" i="1" s="1"/>
  <c r="I31" i="1" s="1"/>
  <c r="G35" i="1"/>
  <c r="H35" i="1" s="1"/>
  <c r="I35" i="1" s="1"/>
  <c r="B22" i="1"/>
  <c r="J68" i="1" l="1"/>
  <c r="J64" i="1"/>
  <c r="J60" i="1"/>
  <c r="J66" i="1"/>
  <c r="J59" i="1"/>
  <c r="J63" i="1"/>
  <c r="J65" i="1"/>
  <c r="J61" i="1"/>
  <c r="J62" i="1"/>
  <c r="J58" i="1"/>
  <c r="J67" i="1"/>
  <c r="J56" i="1"/>
  <c r="J52" i="1"/>
  <c r="J48" i="1"/>
  <c r="J44" i="1"/>
  <c r="J40" i="1"/>
  <c r="J46" i="1"/>
  <c r="J42" i="1"/>
  <c r="J55" i="1"/>
  <c r="J43" i="1"/>
  <c r="J51" i="1"/>
  <c r="J57" i="1"/>
  <c r="J53" i="1"/>
  <c r="J49" i="1"/>
  <c r="J45" i="1"/>
  <c r="J41" i="1"/>
  <c r="J54" i="1"/>
  <c r="J50" i="1"/>
  <c r="J47" i="1"/>
  <c r="J39" i="1"/>
  <c r="J37" i="1"/>
  <c r="J33" i="1"/>
  <c r="J29" i="1"/>
  <c r="J38" i="1"/>
  <c r="J34" i="1"/>
  <c r="J30" i="1"/>
  <c r="J35" i="1"/>
  <c r="J31" i="1"/>
  <c r="J36" i="1"/>
  <c r="J32" i="1"/>
  <c r="L26" i="1"/>
  <c r="E9" i="1"/>
  <c r="E8" i="1"/>
  <c r="E11" i="1"/>
  <c r="H9" i="1"/>
  <c r="E6" i="1" l="1"/>
  <c r="E5" i="1"/>
</calcChain>
</file>

<file path=xl/sharedStrings.xml><?xml version="1.0" encoding="utf-8"?>
<sst xmlns="http://schemas.openxmlformats.org/spreadsheetml/2006/main" count="96" uniqueCount="83">
  <si>
    <t>Preencha apenas as células amarelas. A planilha compara permanecer no PCS atual versus migrar para o Novo PCS, pelo tempo restante informado.</t>
  </si>
  <si>
    <t>ENTRADAS</t>
  </si>
  <si>
    <t>RESULTADO DA SIMULAÇÃO</t>
  </si>
  <si>
    <t>Data de admissão</t>
  </si>
  <si>
    <t>Orientação</t>
  </si>
  <si>
    <t>Cargo atual PCS</t>
  </si>
  <si>
    <t>TB</t>
  </si>
  <si>
    <t>Por quê</t>
  </si>
  <si>
    <t>Nível atual</t>
  </si>
  <si>
    <t>Enquadramento Novo PCS</t>
  </si>
  <si>
    <t>B</t>
  </si>
  <si>
    <t>Ganho/perda acumulado migrando</t>
  </si>
  <si>
    <t>Acumulado se permanecer</t>
  </si>
  <si>
    <t>Anos restantes no Banco</t>
  </si>
  <si>
    <t>Acumulado se migrar</t>
  </si>
  <si>
    <t>Diferença mensal inicial</t>
  </si>
  <si>
    <t>Data-base</t>
  </si>
  <si>
    <t>Nível inicial Novo PCS</t>
  </si>
  <si>
    <t>Incluir 13º salário?</t>
  </si>
  <si>
    <t>Remuneração Novo PCS inicial</t>
  </si>
  <si>
    <t>Promoções esperadas PCS atual</t>
  </si>
  <si>
    <t>Promoções Novo PCS (dobro)</t>
  </si>
  <si>
    <t>PARÂMETROS DA SIMULAÇÃO</t>
  </si>
  <si>
    <t>Interstício PCS atual (anos por nível)</t>
  </si>
  <si>
    <t>Interstício Novo PCS (anos por nível)</t>
  </si>
  <si>
    <t>Multiplicador anual</t>
  </si>
  <si>
    <t>Anos de serviço na data-base</t>
  </si>
  <si>
    <t>Quinquênios na data-base</t>
  </si>
  <si>
    <t>VB atual PCS</t>
  </si>
  <si>
    <t>Remuneração PCS para enquadramento</t>
  </si>
  <si>
    <t>Nível inicial no Novo PCS</t>
  </si>
  <si>
    <t>Remuneração inicial Novo PCS</t>
  </si>
  <si>
    <t>Teto dos quinquênios</t>
  </si>
  <si>
    <t>COMO USAR</t>
  </si>
  <si>
    <t>Cenário</t>
  </si>
  <si>
    <t>Acumulado</t>
  </si>
  <si>
    <t>1) Preencha as células amarelas</t>
  </si>
  <si>
    <t>2) Informe os anos restantes</t>
  </si>
  <si>
    <t>PCS atual</t>
  </si>
  <si>
    <t>Novo PCS</t>
  </si>
  <si>
    <t>Ano</t>
  </si>
  <si>
    <t>Data</t>
  </si>
  <si>
    <t>Nível PCS</t>
  </si>
  <si>
    <t>Quinq.</t>
  </si>
  <si>
    <t>Remun. PCS mensal</t>
  </si>
  <si>
    <t>Acum. PCS</t>
  </si>
  <si>
    <t>Nível Novo</t>
  </si>
  <si>
    <t>Remun. Novo mensal</t>
  </si>
  <si>
    <t>Acum. Novo</t>
  </si>
  <si>
    <t>Diferença acumulada</t>
  </si>
  <si>
    <t>Nível</t>
  </si>
  <si>
    <t>TC</t>
  </si>
  <si>
    <t>AD</t>
  </si>
  <si>
    <t>TI</t>
  </si>
  <si>
    <t>ST</t>
  </si>
  <si>
    <t>TP</t>
  </si>
  <si>
    <t>Código</t>
  </si>
  <si>
    <t>Descrição</t>
  </si>
  <si>
    <t>Técnico Bancário no PCS/XXXX atual</t>
  </si>
  <si>
    <t>Técnico Científico no PCS/XXXX atual</t>
  </si>
  <si>
    <t>Bancário no Novo PCS</t>
  </si>
  <si>
    <t>Técnico em Segurança do Trabalho no Novo PCS</t>
  </si>
  <si>
    <t>Técnico Profissional no Novo PCS</t>
  </si>
  <si>
    <t>Advogado no Novo PCS</t>
  </si>
  <si>
    <t>Tecnologia da Informação no Novo PCS</t>
  </si>
  <si>
    <t>Premissa</t>
  </si>
  <si>
    <t>PCS/XXXX projeta progressão de 1 nível a cada 2 anos, limitado ao topo TB15 ou TC12.</t>
  </si>
  <si>
    <t>Novo PCS projeta progressão anual de 1 nível, limitada ao nível 30.</t>
  </si>
  <si>
    <t>Novo PCS é enquadrado no primeiro nível com remuneração igual ou imediatamente superior à remuneração PCS na data-base.</t>
  </si>
  <si>
    <t>A comparação acumulada soma a remuneração anual pelo número de anos restantes informado.</t>
  </si>
  <si>
    <t>SIMULADOR DE MIGRAÇÃO PCS/94 x NOVO PCS</t>
  </si>
  <si>
    <t>Remuneração PCS atual</t>
  </si>
  <si>
    <r>
      <t>Remuneração PCS atual</t>
    </r>
    <r>
      <rPr>
        <sz val="11"/>
        <rFont val="Carlito"/>
      </rPr>
      <t>: quanto ganha hoje no PCS atual.</t>
    </r>
  </si>
  <si>
    <r>
      <t>Nível inicial Novo PCS</t>
    </r>
    <r>
      <rPr>
        <sz val="11"/>
        <rFont val="Carlito"/>
      </rPr>
      <t>: onde seria encaixado no Novo PCS.</t>
    </r>
  </si>
  <si>
    <r>
      <t>Remuneração Novo PCS inicial</t>
    </r>
    <r>
      <rPr>
        <sz val="11"/>
        <rFont val="Carlito"/>
      </rPr>
      <t>: quanto ganharia ao migrar.</t>
    </r>
  </si>
  <si>
    <r>
      <t>Diferença mensal inicial</t>
    </r>
    <r>
      <rPr>
        <sz val="11"/>
        <rFont val="Carlito"/>
      </rPr>
      <t>: diferença no primeiro momento.</t>
    </r>
  </si>
  <si>
    <r>
      <t>Acumulado se permanecer</t>
    </r>
    <r>
      <rPr>
        <sz val="11"/>
        <rFont val="Carlito"/>
      </rPr>
      <t>: total ficando no PCS atual.</t>
    </r>
  </si>
  <si>
    <r>
      <t>Acumulado se migrar</t>
    </r>
    <r>
      <rPr>
        <sz val="11"/>
        <rFont val="Carlito"/>
      </rPr>
      <t>: total migrando para o Novo PCS.</t>
    </r>
  </si>
  <si>
    <r>
      <t>Ganho/perda acumulado migrando</t>
    </r>
    <r>
      <rPr>
        <sz val="11"/>
        <rFont val="Carlito"/>
      </rPr>
      <t>: vantagem ou desvantagem real da migração no tempo restante.</t>
    </r>
  </si>
  <si>
    <t>↓       ↓       ↓</t>
  </si>
  <si>
    <t>3) Informe a expectativa de promoções no PCS atual</t>
  </si>
  <si>
    <t>4) Confira a orientação e o ganho/perda acumulado</t>
  </si>
  <si>
    <t>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</si>
</sst>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R\$\ #,##0.00;[Red]\-\R\$\ #,##0.00"/>
    <numFmt numFmtId="165" formatCode="\R\$\ #,##0.00"/>
  </numFmts>
  <fonts count="13">
    <font>
      <sz val="11"/>
      <name val="Carlito"/>
    </font>
    <font>
      <b/>
      <sz val="16"/>
      <color rgb="FFFFFFFF"/>
      <name val="Carlito"/>
    </font>
    <font>
      <b/>
      <sz val="11"/>
      <name val="Carlito"/>
    </font>
    <font>
      <b/>
      <sz val="11"/>
      <color rgb="FFFFFFFF"/>
      <name val="Carlito"/>
    </font>
    <font>
      <b/>
      <sz val="12"/>
      <color rgb="FFFFFFFF"/>
      <name val="Carlito"/>
    </font>
    <font>
      <b/>
      <sz val="13"/>
      <color rgb="FF006100"/>
      <name val="Carlito"/>
    </font>
    <font>
      <b/>
      <sz val="11"/>
      <color rgb="FF0F172A"/>
      <name val="Carlito"/>
    </font>
    <font>
      <b/>
      <sz val="11"/>
      <color rgb="FF1F2937"/>
      <name val="Carlito"/>
    </font>
    <font>
      <b/>
      <sz val="11"/>
      <color rgb="FF111827"/>
      <name val="Carlito"/>
    </font>
    <font>
      <b/>
      <sz val="11"/>
      <color rgb="FF1E3A8A"/>
      <name val="Carlito"/>
    </font>
    <font>
      <i/>
      <sz val="11"/>
      <color rgb="FF475569"/>
      <name val="Carlito"/>
    </font>
    <font>
      <b/>
      <i/>
      <sz val="11"/>
      <color rgb="FF1F1F1F"/>
      <name val="Carlito"/>
    </font>
    <font>
      <b/>
      <sz val="11"/>
      <color rgb="FFFF0000"/>
      <name val="Carlito"/>
    </font>
  </fonts>
  <fills count="21">
    <fill>
      <patternFill patternType="none"/>
    </fill>
    <fill>
      <patternFill patternType="gray125"/>
    </fill>
    <fill>
      <patternFill patternType="solid">
        <fgColor rgb="FF0F2742"/>
      </patternFill>
    </fill>
    <fill>
      <patternFill patternType="solid">
        <fgColor rgb="FFD9EAF7"/>
      </patternFill>
    </fill>
    <fill>
      <patternFill patternType="solid">
        <fgColor rgb="FFF2F2F2"/>
      </patternFill>
    </fill>
    <fill>
      <patternFill patternType="solid">
        <fgColor rgb="FFFFF2CC"/>
      </patternFill>
    </fill>
    <fill>
      <patternFill patternType="solid">
        <fgColor rgb="FF1F4E79"/>
      </patternFill>
    </fill>
    <fill>
      <patternFill patternType="solid">
        <fgColor rgb="FF0F2742"/>
      </patternFill>
    </fill>
    <fill>
      <patternFill patternType="solid">
        <fgColor rgb="FFF2F2F2"/>
      </patternFill>
    </fill>
    <fill>
      <patternFill patternType="solid">
        <fgColor rgb="FFD9EAD3"/>
      </patternFill>
    </fill>
    <fill>
      <patternFill patternType="solid">
        <fgColor rgb="FFEAF4FF"/>
      </patternFill>
    </fill>
    <fill>
      <patternFill patternType="solid">
        <fgColor rgb="FFFFFFFF"/>
      </patternFill>
    </fill>
    <fill>
      <patternFill patternType="solid">
        <fgColor rgb="FF404040"/>
      </patternFill>
    </fill>
    <fill>
      <patternFill patternType="solid">
        <fgColor rgb="FF4472C4"/>
      </patternFill>
    </fill>
    <fill>
      <patternFill patternType="solid">
        <fgColor rgb="FFF2F2F2"/>
      </patternFill>
    </fill>
    <fill>
      <patternFill patternType="solid">
        <fgColor rgb="FF1F4E79"/>
      </patternFill>
    </fill>
    <fill>
      <patternFill patternType="solid">
        <fgColor rgb="FFF8FAFC"/>
      </patternFill>
    </fill>
    <fill>
      <patternFill patternType="solid">
        <fgColor rgb="FFE5E7EB"/>
      </patternFill>
    </fill>
    <fill>
      <patternFill patternType="solid">
        <fgColor rgb="FFFEF3C7"/>
      </patternFill>
    </fill>
    <fill>
      <patternFill patternType="solid">
        <fgColor rgb="FFDBEAFE"/>
      </patternFill>
    </fill>
    <fill>
      <patternFill patternType="solid">
        <fgColor rgb="FFF8FAF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6" borderId="0" xfId="0" applyFont="1" applyFill="1" applyAlignment="1">
      <alignment horizontal="center"/>
    </xf>
    <xf numFmtId="165" fontId="0" fillId="0" borderId="0" xfId="0" applyNumberFormat="1"/>
    <xf numFmtId="0" fontId="7" fillId="17" borderId="0" xfId="0" applyFont="1" applyFill="1" applyAlignment="1">
      <alignment horizontal="left" vertical="center" wrapText="1"/>
    </xf>
    <xf numFmtId="1" fontId="8" fillId="18" borderId="0" xfId="0" applyNumberFormat="1" applyFont="1" applyFill="1" applyAlignment="1">
      <alignment horizontal="center" vertical="center"/>
    </xf>
    <xf numFmtId="1" fontId="9" fillId="19" borderId="0" xfId="0" applyNumberFormat="1" applyFont="1" applyFill="1" applyAlignment="1">
      <alignment horizontal="center" vertical="center"/>
    </xf>
    <xf numFmtId="14" fontId="2" fillId="5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1" fontId="2" fillId="5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4" borderId="0" xfId="0" applyFont="1" applyFill="1" applyAlignment="1">
      <alignment vertical="center"/>
    </xf>
    <xf numFmtId="0" fontId="2" fillId="8" borderId="0" xfId="0" applyFont="1" applyFill="1" applyAlignment="1">
      <alignment vertical="center" wrapText="1"/>
    </xf>
    <xf numFmtId="164" fontId="2" fillId="11" borderId="0" xfId="0" applyNumberFormat="1" applyFont="1" applyFill="1" applyAlignment="1">
      <alignment vertical="center"/>
    </xf>
    <xf numFmtId="0" fontId="2" fillId="11" borderId="0" xfId="0" applyFont="1" applyFill="1" applyAlignment="1">
      <alignment vertical="center"/>
    </xf>
    <xf numFmtId="0" fontId="3" fillId="6" borderId="0" xfId="0" applyFont="1" applyFill="1" applyAlignment="1">
      <alignment horizontal="center" vertical="center"/>
    </xf>
    <xf numFmtId="1" fontId="3" fillId="6" borderId="0" xfId="0" applyNumberFormat="1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1" fontId="0" fillId="4" borderId="0" xfId="0" applyNumberFormat="1" applyFill="1" applyAlignment="1">
      <alignment vertical="center"/>
    </xf>
    <xf numFmtId="4" fontId="0" fillId="4" borderId="0" xfId="0" applyNumberFormat="1" applyFill="1" applyAlignment="1">
      <alignment vertical="center"/>
    </xf>
    <xf numFmtId="164" fontId="0" fillId="4" borderId="0" xfId="0" applyNumberFormat="1" applyFill="1" applyAlignment="1">
      <alignment vertical="center"/>
    </xf>
    <xf numFmtId="0" fontId="6" fillId="16" borderId="0" xfId="0" applyFont="1" applyFill="1" applyAlignment="1">
      <alignment vertical="center"/>
    </xf>
    <xf numFmtId="164" fontId="6" fillId="16" borderId="0" xfId="0" applyNumberFormat="1" applyFont="1" applyFill="1" applyAlignment="1">
      <alignment vertical="center"/>
    </xf>
    <xf numFmtId="0" fontId="3" fillId="15" borderId="0" xfId="0" applyFont="1" applyFill="1" applyAlignment="1">
      <alignment horizontal="center" vertical="center"/>
    </xf>
    <xf numFmtId="0" fontId="0" fillId="14" borderId="0" xfId="0" applyFill="1" applyAlignment="1">
      <alignment vertical="center"/>
    </xf>
    <xf numFmtId="0" fontId="10" fillId="20" borderId="0" xfId="0" applyFont="1" applyFill="1" applyAlignment="1">
      <alignment vertical="center" wrapText="1"/>
    </xf>
    <xf numFmtId="0" fontId="3" fillId="6" borderId="0" xfId="0" applyFont="1" applyFill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/>
    <xf numFmtId="0" fontId="12" fillId="0" borderId="0" xfId="0" applyFont="1" applyAlignment="1">
      <alignment vertical="center"/>
    </xf>
    <xf numFmtId="0" fontId="3" fillId="12" borderId="0" xfId="0" applyFont="1" applyFill="1" applyAlignment="1">
      <alignment horizontal="center" vertical="center"/>
    </xf>
    <xf numFmtId="0" fontId="3" fillId="13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0" fillId="10" borderId="0" xfId="0" applyFill="1" applyAlignment="1">
      <alignment vertical="center" wrapText="1"/>
    </xf>
  </cellXfs>
  <cellStyles count="1">
    <cellStyle name="Normal" xfId="0" builtinId="0"/>
  </cellStyles>
  <dxfs count="21">
    <dxf>
      <font>
        <color rgb="FF006100"/>
      </font>
      <fill>
        <patternFill>
          <bgColor rgb="FFD9EAD3"/>
        </patternFill>
      </fill>
    </dxf>
    <dxf>
      <font>
        <color rgb="FF9C0006"/>
      </font>
      <fill>
        <patternFill>
          <bgColor rgb="FFF4CCCC"/>
        </patternFill>
      </fill>
    </dxf>
    <dxf>
      <font>
        <b/>
        <color rgb="FF006100"/>
      </font>
      <fill>
        <patternFill>
          <bgColor rgb="FFD9EAD3"/>
        </patternFill>
      </fill>
    </dxf>
    <dxf>
      <font>
        <b/>
        <color rgb="FF9C0006"/>
      </font>
      <fill>
        <patternFill>
          <bgColor rgb="FFF4CCCC"/>
        </patternFill>
      </fill>
    </dxf>
    <dxf>
      <font>
        <b/>
        <color rgb="FF006100"/>
      </font>
      <fill>
        <patternFill>
          <bgColor rgb="FFD9EAD3"/>
        </patternFill>
      </fill>
    </dxf>
    <dxf>
      <font>
        <b/>
        <color rgb="FF9C0006"/>
      </font>
      <fill>
        <patternFill>
          <bgColor rgb="FFF4CCCC"/>
        </patternFill>
      </fill>
    </dxf>
    <dxf>
      <font>
        <b/>
        <color rgb="FF006100"/>
      </font>
      <fill>
        <patternFill>
          <bgColor rgb="FFD9EAD3"/>
        </patternFill>
      </fill>
    </dxf>
    <dxf>
      <font>
        <b/>
        <color rgb="FF9C0006"/>
      </font>
      <fill>
        <patternFill>
          <bgColor rgb="FFF4CCCC"/>
        </patternFill>
      </fill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Acumulado</c:v>
          </c:tx>
          <c:invertIfNegative val="1"/>
          <c:cat>
            <c:strRef>
              <c:f>Painel!$K$25:$K$26</c:f>
              <c:strCache>
                <c:ptCount val="2"/>
                <c:pt idx="0">
                  <c:v>PCS atual</c:v>
                </c:pt>
                <c:pt idx="1">
                  <c:v>Novo PCS</c:v>
                </c:pt>
              </c:strCache>
            </c:strRef>
          </c:cat>
          <c:val>
            <c:numRef>
              <c:f>Painel!$L$25:$L$26</c:f>
              <c:numCache>
                <c:formatCode>#,##0.00</c:formatCode>
                <c:ptCount val="2"/>
                <c:pt idx="0">
                  <c:v>4049382.1</c:v>
                </c:pt>
                <c:pt idx="1">
                  <c:v>3717464.52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0-4C42-A2DD-CDB259CC1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13</xdr:col>
      <xdr:colOff>873125</xdr:colOff>
      <xdr:row>21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Projecao" displayName="TabelaProjecao" ref="A28:J68" headerRowDxfId="20" dataDxfId="19" totalsRowDxfId="18">
  <tableColumns count="10">
    <tableColumn id="1" xr3:uid="{00000000-0010-0000-0000-000001000000}" name="Ano" dataDxfId="17"/>
    <tableColumn id="2" xr3:uid="{00000000-0010-0000-0000-000002000000}" name="Data" dataDxfId="16"/>
    <tableColumn id="3" xr3:uid="{00000000-0010-0000-0000-000003000000}" name="Nível PCS" dataDxfId="15"/>
    <tableColumn id="4" xr3:uid="{00000000-0010-0000-0000-000004000000}" name="Quinq." dataDxfId="14"/>
    <tableColumn id="5" xr3:uid="{00000000-0010-0000-0000-000005000000}" name="Remun. PCS mensal" dataDxfId="13"/>
    <tableColumn id="6" xr3:uid="{00000000-0010-0000-0000-000006000000}" name="Acum. PCS" dataDxfId="12"/>
    <tableColumn id="7" xr3:uid="{00000000-0010-0000-0000-000007000000}" name="Nível Novo" dataDxfId="11"/>
    <tableColumn id="8" xr3:uid="{00000000-0010-0000-0000-000008000000}" name="Remun. Novo mensal" dataDxfId="10"/>
    <tableColumn id="9" xr3:uid="{00000000-0010-0000-0000-000009000000}" name="Acum. Novo" dataDxfId="9"/>
    <tableColumn id="10" xr3:uid="{00000000-0010-0000-0000-00000A000000}" name="Diferença acumulada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Legenda" displayName="TabelaLegenda" ref="A1:B13">
  <tableColumns count="2">
    <tableColumn id="1" xr3:uid="{00000000-0010-0000-0300-000001000000}" name="Código"/>
    <tableColumn id="2" xr3:uid="{00000000-0010-0000-0300-000002000000}" name="Descriçã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DadosPCS" displayName="TabelaDadosPCS" ref="A1:C16">
  <tableColumns count="3">
    <tableColumn id="1" xr3:uid="{00000000-0010-0000-0100-000001000000}" name="Nível"/>
    <tableColumn id="2" xr3:uid="{00000000-0010-0000-0100-000002000000}" name="TB"/>
    <tableColumn id="3" xr3:uid="{00000000-0010-0000-0100-000003000000}" name="TC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DadosNovoPCS" displayName="TabelaDadosNovoPCS" ref="A1:F31">
  <tableColumns count="6">
    <tableColumn id="1" xr3:uid="{00000000-0010-0000-0200-000001000000}" name="Nível"/>
    <tableColumn id="2" xr3:uid="{00000000-0010-0000-0200-000002000000}" name="B"/>
    <tableColumn id="3" xr3:uid="{00000000-0010-0000-0200-000003000000}" name="AD"/>
    <tableColumn id="4" xr3:uid="{00000000-0010-0000-0200-000004000000}" name="TI"/>
    <tableColumn id="5" xr3:uid="{00000000-0010-0000-0200-000005000000}" name="ST"/>
    <tableColumn id="6" xr3:uid="{00000000-0010-0000-0200-000006000000}" name="TP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"/>
  <sheetViews>
    <sheetView showGridLines="0" tabSelected="1" zoomScale="68" zoomScaleNormal="68" workbookViewId="0">
      <selection activeCell="B13" sqref="B13"/>
    </sheetView>
  </sheetViews>
  <sheetFormatPr defaultRowHeight="14"/>
  <cols>
    <col min="1" max="1" width="34.08203125" style="9" bestFit="1" customWidth="1"/>
    <col min="2" max="2" width="10.9140625" style="9" bestFit="1" customWidth="1"/>
    <col min="3" max="3" width="5.08203125" style="9" bestFit="1" customWidth="1"/>
    <col min="4" max="4" width="31.25" style="9" customWidth="1"/>
    <col min="5" max="5" width="18.58203125" style="9" bestFit="1" customWidth="1"/>
    <col min="6" max="6" width="13" style="9" bestFit="1" customWidth="1"/>
    <col min="7" max="7" width="24.08203125" style="9" bestFit="1" customWidth="1"/>
    <col min="8" max="8" width="14.6640625" style="9" bestFit="1" customWidth="1"/>
    <col min="9" max="9" width="13" style="9" bestFit="1" customWidth="1"/>
    <col min="10" max="10" width="13.6640625" style="9" bestFit="1" customWidth="1"/>
    <col min="11" max="11" width="9.5" style="9" bestFit="1" customWidth="1"/>
    <col min="12" max="12" width="11.6640625" style="9" bestFit="1" customWidth="1"/>
    <col min="13" max="14" width="18" style="9" customWidth="1"/>
    <col min="15" max="16384" width="8.6640625" style="9"/>
  </cols>
  <sheetData>
    <row r="1" spans="1:10" ht="20">
      <c r="A1" s="33" t="s">
        <v>70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20" customHeight="1">
      <c r="B3" s="30" t="s">
        <v>79</v>
      </c>
    </row>
    <row r="4" spans="1:10" ht="15.5">
      <c r="A4" s="10" t="s">
        <v>1</v>
      </c>
      <c r="B4" s="10"/>
      <c r="D4" s="35" t="s">
        <v>2</v>
      </c>
      <c r="E4" s="35"/>
      <c r="F4" s="35"/>
      <c r="G4" s="35"/>
      <c r="H4" s="35"/>
      <c r="I4" s="35"/>
      <c r="J4" s="35"/>
    </row>
    <row r="5" spans="1:10" ht="16.5">
      <c r="A5" s="10" t="s">
        <v>3</v>
      </c>
      <c r="B5" s="6">
        <v>37834</v>
      </c>
      <c r="D5" s="11" t="s">
        <v>4</v>
      </c>
      <c r="E5" s="36" t="str">
        <f>IF($E$8&gt;0,"MIGRAR PARA O NOVO PCS",IF($E$8&lt;0,"FICAR NO PCS ATUAL","INDIFERENTE"))</f>
        <v>FICAR NO PCS ATUAL</v>
      </c>
      <c r="F5" s="36"/>
      <c r="G5" s="36"/>
      <c r="H5" s="36"/>
      <c r="I5" s="36"/>
      <c r="J5" s="36"/>
    </row>
    <row r="6" spans="1:10">
      <c r="A6" s="10" t="s">
        <v>5</v>
      </c>
      <c r="B6" s="7" t="s">
        <v>6</v>
      </c>
      <c r="D6" s="11" t="s">
        <v>7</v>
      </c>
      <c r="E6" s="37" t="str">
        <f>IF($E$8&gt;0,"O Novo PCS gera ganho acumulado no período informado, considerando "&amp;$B$12&amp;" promoção(ões) esperada(s) no PCS atual e "&amp;$E$12&amp;" no Novo PCS.",IF($E$8&lt;0,"A migração gera perda acumulada no período informado. Com "&amp;$B$12&amp;" promoção(ões) esperada(s) no PCS atual e "&amp;$E$12&amp;" no Novo PCS, permanecer no PCS atual é financeiramente superior.","Os dois cenários têm resultado acumulado equivalente no período informado, considerando as promoções informadas."))</f>
        <v>A migração gera perda acumulada no período informado. Com 9 promoção(ões) esperada(s) no PCS atual e 18 no Novo PCS, permanecer no PCS atual é financeiramente superior.</v>
      </c>
      <c r="F6" s="37"/>
      <c r="G6" s="37"/>
      <c r="H6" s="37"/>
      <c r="I6" s="37"/>
      <c r="J6" s="37"/>
    </row>
    <row r="7" spans="1:10">
      <c r="A7" s="10" t="s">
        <v>8</v>
      </c>
      <c r="B7" s="8">
        <v>8</v>
      </c>
      <c r="D7" s="11"/>
      <c r="E7" s="37"/>
      <c r="F7" s="37"/>
      <c r="G7" s="37"/>
      <c r="H7" s="37"/>
      <c r="I7" s="37"/>
      <c r="J7" s="37"/>
    </row>
    <row r="8" spans="1:10">
      <c r="A8" s="10" t="s">
        <v>9</v>
      </c>
      <c r="B8" s="8" t="s">
        <v>10</v>
      </c>
      <c r="D8" s="11" t="s">
        <v>11</v>
      </c>
      <c r="E8" s="12">
        <f>ROUND(SUM($I$29:$I$68)-SUM($F$29:$F$68),2)</f>
        <v>-331917.58</v>
      </c>
      <c r="G8" s="11" t="s">
        <v>12</v>
      </c>
      <c r="H8" s="12">
        <f>ROUND(SUM($F$29:$F$68),2)</f>
        <v>4049382.1</v>
      </c>
    </row>
    <row r="9" spans="1:10">
      <c r="A9" s="10" t="s">
        <v>13</v>
      </c>
      <c r="B9" s="8">
        <v>29</v>
      </c>
      <c r="D9" s="11" t="s">
        <v>14</v>
      </c>
      <c r="E9" s="12">
        <f>ROUND(SUM($I$29:$I$68),2)</f>
        <v>3717464.52</v>
      </c>
      <c r="G9" s="11" t="s">
        <v>15</v>
      </c>
      <c r="H9" s="12">
        <f>ROUND($B$22-$B$20,2)</f>
        <v>45.8</v>
      </c>
    </row>
    <row r="10" spans="1:10">
      <c r="A10" s="10" t="s">
        <v>16</v>
      </c>
      <c r="B10" s="6">
        <v>46235</v>
      </c>
      <c r="D10" s="11" t="s">
        <v>17</v>
      </c>
      <c r="E10" s="13">
        <f>$B$21</f>
        <v>16</v>
      </c>
      <c r="G10" s="11" t="s">
        <v>71</v>
      </c>
      <c r="H10" s="12">
        <f>$B$20</f>
        <v>6858.26</v>
      </c>
    </row>
    <row r="11" spans="1:10">
      <c r="A11" s="10" t="s">
        <v>18</v>
      </c>
      <c r="B11" s="7" t="s">
        <v>82</v>
      </c>
      <c r="D11" s="11" t="s">
        <v>19</v>
      </c>
      <c r="E11" s="12">
        <f>$B$22</f>
        <v>6904.06</v>
      </c>
    </row>
    <row r="12" spans="1:10">
      <c r="A12" s="3" t="s">
        <v>20</v>
      </c>
      <c r="B12" s="4">
        <v>9</v>
      </c>
      <c r="D12" s="3" t="s">
        <v>21</v>
      </c>
      <c r="E12" s="5">
        <f>$B$12*2</f>
        <v>18</v>
      </c>
    </row>
    <row r="13" spans="1:10">
      <c r="A13" s="14" t="s">
        <v>22</v>
      </c>
      <c r="B13" s="15"/>
      <c r="C13" s="14"/>
      <c r="D13" s="11"/>
    </row>
    <row r="14" spans="1:10">
      <c r="A14" s="16" t="s">
        <v>23</v>
      </c>
      <c r="B14" s="17">
        <v>2</v>
      </c>
      <c r="C14" s="16"/>
      <c r="D14" s="11"/>
    </row>
    <row r="15" spans="1:10">
      <c r="A15" s="16" t="s">
        <v>24</v>
      </c>
      <c r="B15" s="17">
        <v>1</v>
      </c>
      <c r="C15" s="16"/>
    </row>
    <row r="16" spans="1:10">
      <c r="A16" s="16" t="s">
        <v>25</v>
      </c>
      <c r="B16" s="17">
        <f>IF($B$11="Sim",13,12)</f>
        <v>13</v>
      </c>
      <c r="C16" s="16"/>
    </row>
    <row r="17" spans="1:12">
      <c r="A17" s="16" t="s">
        <v>26</v>
      </c>
      <c r="B17" s="17">
        <f>INT(($B$10-$B$5)/365.25)</f>
        <v>23</v>
      </c>
      <c r="C17" s="16"/>
    </row>
    <row r="18" spans="1:12">
      <c r="A18" s="16" t="s">
        <v>27</v>
      </c>
      <c r="B18" s="17">
        <f>INT(B17/5)</f>
        <v>4</v>
      </c>
      <c r="C18" s="16"/>
    </row>
    <row r="19" spans="1:12">
      <c r="A19" s="16" t="s">
        <v>28</v>
      </c>
      <c r="B19" s="18">
        <f>IF($B$6="TB",INDEX(DadosPCS!$B$2:$B$16,$B$7),IF($B$6="TC",INDEX(DadosPCS!$C$2:$C$13,$B$7),0))</f>
        <v>4286.41</v>
      </c>
      <c r="C19" s="16"/>
    </row>
    <row r="20" spans="1:12">
      <c r="A20" s="16" t="s">
        <v>29</v>
      </c>
      <c r="B20" s="19">
        <f>ROUND((B19+MIN(B19*B18*5%,$B$23))*4/3,2)</f>
        <v>6858.26</v>
      </c>
      <c r="C20" s="16"/>
    </row>
    <row r="21" spans="1:12">
      <c r="A21" s="16" t="s">
        <v>30</v>
      </c>
      <c r="B21" s="17">
        <f>IF($B$8="B",MIN(30,IFERROR(MATCH(B20-0.0001,DadosNovoPCS!$B$2:$B$31,1)+1,1)),IF($B$8="ST",MIN(30,IFERROR(MATCH(B20-0.0001,DadosNovoPCS!$E$2:$E$31,1)+1,1)),IF($B$8="TP",MIN(30,IFERROR(MATCH(B20-0.0001,DadosNovoPCS!$F$2:$F$31,1)+1,1)),IF($B$8="AD",MIN(30,IFERROR(MATCH(B20-0.0001,DadosNovoPCS!$C$2:$C$31,1)+1,1)),IF($B$8="TI",MIN(30,IFERROR(MATCH(B20-0.0001,DadosNovoPCS!$D$2:$D$31,1)+1,1)),"")))))</f>
        <v>16</v>
      </c>
      <c r="C21" s="16"/>
    </row>
    <row r="22" spans="1:12">
      <c r="A22" s="16" t="s">
        <v>31</v>
      </c>
      <c r="B22" s="19">
        <f>ROUND(IF($B$8="B",INDEX(DadosNovoPCS!$B$2:$B$31,B21),IF($B$8="ST",INDEX(DadosNovoPCS!$E$2:$E$31,B21),IF($B$8="TP",INDEX(DadosNovoPCS!$F$2:$F$31,B21),IF($B$8="AD",INDEX(DadosNovoPCS!$C$2:$C$31,B21),IF($B$8="TI",INDEX(DadosNovoPCS!$D$2:$D$31,B21),""))))),2)</f>
        <v>6904.06</v>
      </c>
      <c r="C22" s="16"/>
    </row>
    <row r="23" spans="1:12">
      <c r="A23" s="20" t="s">
        <v>32</v>
      </c>
      <c r="B23" s="21">
        <v>2574.5700000000002</v>
      </c>
    </row>
    <row r="24" spans="1:12">
      <c r="A24" s="31" t="s">
        <v>33</v>
      </c>
      <c r="B24" s="31"/>
      <c r="C24" s="31"/>
      <c r="D24" s="31"/>
      <c r="E24" s="31"/>
      <c r="F24" s="31"/>
      <c r="G24" s="31"/>
      <c r="H24" s="31"/>
      <c r="I24" s="31"/>
      <c r="J24" s="31"/>
      <c r="K24" s="22" t="s">
        <v>34</v>
      </c>
      <c r="L24" s="22" t="s">
        <v>35</v>
      </c>
    </row>
    <row r="25" spans="1:12">
      <c r="A25" s="32" t="s">
        <v>36</v>
      </c>
      <c r="B25" s="32"/>
      <c r="C25" s="32" t="s">
        <v>37</v>
      </c>
      <c r="D25" s="32"/>
      <c r="E25" s="32" t="s">
        <v>80</v>
      </c>
      <c r="F25" s="32"/>
      <c r="G25" s="32"/>
      <c r="H25" s="32"/>
      <c r="I25" s="32"/>
      <c r="J25" s="32"/>
      <c r="K25" s="23" t="s">
        <v>38</v>
      </c>
      <c r="L25" s="18">
        <f>ROUND(SUM($F$29:$F$68),2)</f>
        <v>4049382.1</v>
      </c>
    </row>
    <row r="26" spans="1:12" ht="14.5">
      <c r="A26" s="32" t="s">
        <v>81</v>
      </c>
      <c r="B26" s="32"/>
      <c r="C26" s="24"/>
      <c r="D26" s="24"/>
      <c r="E26" s="24"/>
      <c r="F26" s="24"/>
      <c r="K26" s="23" t="s">
        <v>39</v>
      </c>
      <c r="L26" s="18">
        <f>ROUND(SUM($I$29:$I$68),2)</f>
        <v>3717464.52</v>
      </c>
    </row>
    <row r="28" spans="1:12" ht="28">
      <c r="A28" s="25" t="s">
        <v>40</v>
      </c>
      <c r="B28" s="25" t="s">
        <v>41</v>
      </c>
      <c r="C28" s="25" t="s">
        <v>42</v>
      </c>
      <c r="D28" s="25" t="s">
        <v>43</v>
      </c>
      <c r="E28" s="25" t="s">
        <v>44</v>
      </c>
      <c r="F28" s="25" t="s">
        <v>45</v>
      </c>
      <c r="G28" s="25" t="s">
        <v>46</v>
      </c>
      <c r="H28" s="25" t="s">
        <v>47</v>
      </c>
      <c r="I28" s="25" t="s">
        <v>48</v>
      </c>
      <c r="J28" s="25" t="s">
        <v>49</v>
      </c>
    </row>
    <row r="29" spans="1:12">
      <c r="A29" s="26">
        <v>1</v>
      </c>
      <c r="B29" s="27">
        <f t="shared" ref="B29:B68" si="0">IF(A29&lt;=$B$9,EDATE($B$10,12*(A29-1)),"")</f>
        <v>46235</v>
      </c>
      <c r="C29" s="26">
        <f t="shared" ref="C29:C68" si="1">IF(A29&lt;=$B$9,MIN($B$7+MIN($B$12,INT((A29-1)/$B$14)),IF($B$6="TB",15,12)),"")</f>
        <v>8</v>
      </c>
      <c r="D29" s="26">
        <f t="shared" ref="D29:D68" si="2">IF(A29&lt;=$B$9,INT((B29-$B$5)/365.25/5),"")</f>
        <v>4</v>
      </c>
      <c r="E29" s="28">
        <f>IF(A29&lt;=$B$9,ROUND((IF($B$6="TB",INDEX(DadosPCS!$B$2:$B$16,C29),INDEX(DadosPCS!$C$2:$C$13,C29))+MIN(IF($B$6="TB",INDEX(DadosPCS!$B$2:$B$16,C29),INDEX(DadosPCS!$C$2:$C$13,C29))*D29*5%,$B$23))*4/3,2),"")</f>
        <v>6858.26</v>
      </c>
      <c r="F29" s="28">
        <f>IF(A29&lt;=$B$9,ROUND(E29*IF($B$11="Sim",6,5),2),"")</f>
        <v>41149.56</v>
      </c>
      <c r="G29" s="26">
        <f t="shared" ref="G29:G68" si="3">IF(A29&lt;=$B$9,MIN($B$21+MIN($E$12,INT((A29-1)/$B$15)),30),"")</f>
        <v>16</v>
      </c>
      <c r="H29" s="28">
        <f>IF(A29&lt;=$B$9,IF($B$8="B",INDEX(DadosNovoPCS!$B$2:$B$31,G29),IF($B$8="ST",INDEX(DadosNovoPCS!$E$2:$E$31,G29),IF($B$8="TP",INDEX(DadosNovoPCS!$F$2:$F$31,G29),IF($B$8="AD",INDEX(DadosNovoPCS!$C$2:$C$31,G29),IF($B$8="TI",INDEX(DadosNovoPCS!$D$2:$D$31,G29),""))))),"")</f>
        <v>6904.06</v>
      </c>
      <c r="I29" s="28">
        <f>IF(A29&lt;=$B$9,ROUND(H29*IF($B$11="Sim",6,5),2),"")</f>
        <v>41424.36</v>
      </c>
      <c r="J29" s="28">
        <f>IF(A29&lt;=$B$9,ROUND(SUM($I$29:I29)-SUM($F$29:F29),2),"")</f>
        <v>274.8</v>
      </c>
    </row>
    <row r="30" spans="1:12">
      <c r="A30" s="26">
        <v>2</v>
      </c>
      <c r="B30" s="27">
        <f t="shared" si="0"/>
        <v>46600</v>
      </c>
      <c r="C30" s="26">
        <f t="shared" si="1"/>
        <v>8</v>
      </c>
      <c r="D30" s="26">
        <f t="shared" si="2"/>
        <v>4</v>
      </c>
      <c r="E30" s="28">
        <f>IF(A30&lt;=$B$9,ROUND((IF($B$6="TB",INDEX(DadosPCS!$B$2:$B$16,C30),INDEX(DadosPCS!$C$2:$C$13,C30))+MIN(IF($B$6="TB",INDEX(DadosPCS!$B$2:$B$16,C30),INDEX(DadosPCS!$C$2:$C$13,C30))*D30*5%,$B$23))*4/3,2),"")</f>
        <v>6858.26</v>
      </c>
      <c r="F30" s="28">
        <f t="shared" ref="F30:F68" si="4">IF(A30&lt;=$B$9,ROUND(E30*$B$16,2),"")</f>
        <v>89157.38</v>
      </c>
      <c r="G30" s="26">
        <f t="shared" si="3"/>
        <v>17</v>
      </c>
      <c r="H30" s="28">
        <f>IF(A30&lt;=$B$9,IF($B$8="B",INDEX(DadosNovoPCS!$B$2:$B$31,G30),IF($B$8="ST",INDEX(DadosNovoPCS!$E$2:$E$31,G30),IF($B$8="TP",INDEX(DadosNovoPCS!$F$2:$F$31,G30),IF($B$8="AD",INDEX(DadosNovoPCS!$C$2:$C$31,G30),IF($B$8="TI",INDEX(DadosNovoPCS!$D$2:$D$31,G30),""))))),"")</f>
        <v>7145.7</v>
      </c>
      <c r="I30" s="28">
        <f t="shared" ref="I30:I68" si="5">IF(A30&lt;=$B$9,ROUND(H30*$B$16,2),"")</f>
        <v>92894.1</v>
      </c>
      <c r="J30" s="28">
        <f>IF(A30&lt;=$B$9,ROUND(SUM($I$29:I30)-SUM($F$29:F30),2),"")</f>
        <v>4011.52</v>
      </c>
    </row>
    <row r="31" spans="1:12">
      <c r="A31" s="26">
        <v>3</v>
      </c>
      <c r="B31" s="27">
        <f t="shared" si="0"/>
        <v>46966</v>
      </c>
      <c r="C31" s="26">
        <f t="shared" si="1"/>
        <v>9</v>
      </c>
      <c r="D31" s="26">
        <f t="shared" si="2"/>
        <v>5</v>
      </c>
      <c r="E31" s="28">
        <f>IF(A31&lt;=$B$9,ROUND((IF($B$6="TB",INDEX(DadosPCS!$B$2:$B$16,C31),INDEX(DadosPCS!$C$2:$C$13,C31))+MIN(IF($B$6="TB",INDEX(DadosPCS!$B$2:$B$16,C31),INDEX(DadosPCS!$C$2:$C$13,C31))*D31*5%,$B$23))*4/3,2),"")</f>
        <v>7644.1</v>
      </c>
      <c r="F31" s="28">
        <f t="shared" si="4"/>
        <v>99373.3</v>
      </c>
      <c r="G31" s="26">
        <f t="shared" si="3"/>
        <v>18</v>
      </c>
      <c r="H31" s="28">
        <f>IF(A31&lt;=$B$9,IF($B$8="B",INDEX(DadosNovoPCS!$B$2:$B$31,G31),IF($B$8="ST",INDEX(DadosNovoPCS!$E$2:$E$31,G31),IF($B$8="TP",INDEX(DadosNovoPCS!$F$2:$F$31,G31),IF($B$8="AD",INDEX(DadosNovoPCS!$C$2:$C$31,G31),IF($B$8="TI",INDEX(DadosNovoPCS!$D$2:$D$31,G31),""))))),"")</f>
        <v>7395.8</v>
      </c>
      <c r="I31" s="28">
        <f t="shared" si="5"/>
        <v>96145.4</v>
      </c>
      <c r="J31" s="28">
        <f>IF(A31&lt;=$B$9,ROUND(SUM($I$29:I31)-SUM($F$29:F31),2),"")</f>
        <v>783.62</v>
      </c>
    </row>
    <row r="32" spans="1:12">
      <c r="A32" s="26">
        <v>4</v>
      </c>
      <c r="B32" s="27">
        <f t="shared" si="0"/>
        <v>47331</v>
      </c>
      <c r="C32" s="26">
        <f t="shared" si="1"/>
        <v>9</v>
      </c>
      <c r="D32" s="26">
        <f t="shared" si="2"/>
        <v>5</v>
      </c>
      <c r="E32" s="28">
        <f>IF(A32&lt;=$B$9,ROUND((IF($B$6="TB",INDEX(DadosPCS!$B$2:$B$16,C32),INDEX(DadosPCS!$C$2:$C$13,C32))+MIN(IF($B$6="TB",INDEX(DadosPCS!$B$2:$B$16,C32),INDEX(DadosPCS!$C$2:$C$13,C32))*D32*5%,$B$23))*4/3,2),"")</f>
        <v>7644.1</v>
      </c>
      <c r="F32" s="28">
        <f t="shared" si="4"/>
        <v>99373.3</v>
      </c>
      <c r="G32" s="26">
        <f t="shared" si="3"/>
        <v>19</v>
      </c>
      <c r="H32" s="28">
        <f>IF(A32&lt;=$B$9,IF($B$8="B",INDEX(DadosNovoPCS!$B$2:$B$31,G32),IF($B$8="ST",INDEX(DadosNovoPCS!$E$2:$E$31,G32),IF($B$8="TP",INDEX(DadosNovoPCS!$F$2:$F$31,G32),IF($B$8="AD",INDEX(DadosNovoPCS!$C$2:$C$31,G32),IF($B$8="TI",INDEX(DadosNovoPCS!$D$2:$D$31,G32),""))))),"")</f>
        <v>7654.65</v>
      </c>
      <c r="I32" s="28">
        <f t="shared" si="5"/>
        <v>99510.45</v>
      </c>
      <c r="J32" s="28">
        <f>IF(A32&lt;=$B$9,ROUND(SUM($I$29:I32)-SUM($F$29:F32),2),"")</f>
        <v>920.77</v>
      </c>
    </row>
    <row r="33" spans="1:10">
      <c r="A33" s="26">
        <v>5</v>
      </c>
      <c r="B33" s="27">
        <f t="shared" si="0"/>
        <v>47696</v>
      </c>
      <c r="C33" s="26">
        <f t="shared" si="1"/>
        <v>10</v>
      </c>
      <c r="D33" s="26">
        <f t="shared" si="2"/>
        <v>5</v>
      </c>
      <c r="E33" s="28">
        <f>IF(A33&lt;=$B$9,ROUND((IF($B$6="TB",INDEX(DadosPCS!$B$2:$B$16,C33),INDEX(DadosPCS!$C$2:$C$13,C33))+MIN(IF($B$6="TB",INDEX(DadosPCS!$B$2:$B$16,C33),INDEX(DadosPCS!$C$2:$C$13,C33))*D33*5%,$B$23))*4/3,2),"")</f>
        <v>8179.18</v>
      </c>
      <c r="F33" s="28">
        <f t="shared" si="4"/>
        <v>106329.34</v>
      </c>
      <c r="G33" s="26">
        <f t="shared" si="3"/>
        <v>20</v>
      </c>
      <c r="H33" s="28">
        <f>IF(A33&lt;=$B$9,IF($B$8="B",INDEX(DadosNovoPCS!$B$2:$B$31,G33),IF($B$8="ST",INDEX(DadosNovoPCS!$E$2:$E$31,G33),IF($B$8="TP",INDEX(DadosNovoPCS!$F$2:$F$31,G33),IF($B$8="AD",INDEX(DadosNovoPCS!$C$2:$C$31,G33),IF($B$8="TI",INDEX(DadosNovoPCS!$D$2:$D$31,G33),""))))),"")</f>
        <v>7922.57</v>
      </c>
      <c r="I33" s="28">
        <f t="shared" si="5"/>
        <v>102993.41</v>
      </c>
      <c r="J33" s="28">
        <f>IF(A33&lt;=$B$9,ROUND(SUM($I$29:I33)-SUM($F$29:F33),2),"")</f>
        <v>-2415.16</v>
      </c>
    </row>
    <row r="34" spans="1:10">
      <c r="A34" s="26">
        <v>6</v>
      </c>
      <c r="B34" s="27">
        <f t="shared" si="0"/>
        <v>48061</v>
      </c>
      <c r="C34" s="26">
        <f t="shared" si="1"/>
        <v>10</v>
      </c>
      <c r="D34" s="26">
        <f t="shared" si="2"/>
        <v>5</v>
      </c>
      <c r="E34" s="28">
        <f>IF(A34&lt;=$B$9,ROUND((IF($B$6="TB",INDEX(DadosPCS!$B$2:$B$16,C34),INDEX(DadosPCS!$C$2:$C$13,C34))+MIN(IF($B$6="TB",INDEX(DadosPCS!$B$2:$B$16,C34),INDEX(DadosPCS!$C$2:$C$13,C34))*D34*5%,$B$23))*4/3,2),"")</f>
        <v>8179.18</v>
      </c>
      <c r="F34" s="28">
        <f t="shared" si="4"/>
        <v>106329.34</v>
      </c>
      <c r="G34" s="26">
        <f t="shared" si="3"/>
        <v>21</v>
      </c>
      <c r="H34" s="28">
        <f>IF(A34&lt;=$B$9,IF($B$8="B",INDEX(DadosNovoPCS!$B$2:$B$31,G34),IF($B$8="ST",INDEX(DadosNovoPCS!$E$2:$E$31,G34),IF($B$8="TP",INDEX(DadosNovoPCS!$F$2:$F$31,G34),IF($B$8="AD",INDEX(DadosNovoPCS!$C$2:$C$31,G34),IF($B$8="TI",INDEX(DadosNovoPCS!$D$2:$D$31,G34),""))))),"")</f>
        <v>8199.86</v>
      </c>
      <c r="I34" s="28">
        <f t="shared" si="5"/>
        <v>106598.18</v>
      </c>
      <c r="J34" s="28">
        <f>IF(A34&lt;=$B$9,ROUND(SUM($I$29:I34)-SUM($F$29:F34),2),"")</f>
        <v>-2146.3200000000002</v>
      </c>
    </row>
    <row r="35" spans="1:10">
      <c r="A35" s="26">
        <v>7</v>
      </c>
      <c r="B35" s="27">
        <f t="shared" si="0"/>
        <v>48427</v>
      </c>
      <c r="C35" s="26">
        <f t="shared" si="1"/>
        <v>11</v>
      </c>
      <c r="D35" s="26">
        <f t="shared" si="2"/>
        <v>5</v>
      </c>
      <c r="E35" s="28">
        <f>IF(A35&lt;=$B$9,ROUND((IF($B$6="TB",INDEX(DadosPCS!$B$2:$B$16,C35),INDEX(DadosPCS!$C$2:$C$13,C35))+MIN(IF($B$6="TB",INDEX(DadosPCS!$B$2:$B$16,C35),INDEX(DadosPCS!$C$2:$C$13,C35))*D35*5%,$B$23))*4/3,2),"")</f>
        <v>8751.73</v>
      </c>
      <c r="F35" s="28">
        <f t="shared" si="4"/>
        <v>113772.49</v>
      </c>
      <c r="G35" s="26">
        <f t="shared" si="3"/>
        <v>22</v>
      </c>
      <c r="H35" s="28">
        <f>IF(A35&lt;=$B$9,IF($B$8="B",INDEX(DadosNovoPCS!$B$2:$B$31,G35),IF($B$8="ST",INDEX(DadosNovoPCS!$E$2:$E$31,G35),IF($B$8="TP",INDEX(DadosNovoPCS!$F$2:$F$31,G35),IF($B$8="AD",INDEX(DadosNovoPCS!$C$2:$C$31,G35),IF($B$8="TI",INDEX(DadosNovoPCS!$D$2:$D$31,G35),""))))),"")</f>
        <v>8486.85</v>
      </c>
      <c r="I35" s="28">
        <f t="shared" si="5"/>
        <v>110329.05</v>
      </c>
      <c r="J35" s="28">
        <f>IF(A35&lt;=$B$9,ROUND(SUM($I$29:I35)-SUM($F$29:F35),2),"")</f>
        <v>-5589.76</v>
      </c>
    </row>
    <row r="36" spans="1:10">
      <c r="A36" s="26">
        <v>8</v>
      </c>
      <c r="B36" s="27">
        <f t="shared" si="0"/>
        <v>48792</v>
      </c>
      <c r="C36" s="26">
        <f t="shared" si="1"/>
        <v>11</v>
      </c>
      <c r="D36" s="26">
        <f t="shared" si="2"/>
        <v>6</v>
      </c>
      <c r="E36" s="28">
        <f>IF(A36&lt;=$B$9,ROUND((IF($B$6="TB",INDEX(DadosPCS!$B$2:$B$16,C36),INDEX(DadosPCS!$C$2:$C$13,C36))+MIN(IF($B$6="TB",INDEX(DadosPCS!$B$2:$B$16,C36),INDEX(DadosPCS!$C$2:$C$13,C36))*D36*5%,$B$23))*4/3,2),"")</f>
        <v>9101.7999999999993</v>
      </c>
      <c r="F36" s="28">
        <f t="shared" si="4"/>
        <v>118323.4</v>
      </c>
      <c r="G36" s="26">
        <f t="shared" si="3"/>
        <v>23</v>
      </c>
      <c r="H36" s="28">
        <f>IF(A36&lt;=$B$9,IF($B$8="B",INDEX(DadosNovoPCS!$B$2:$B$31,G36),IF($B$8="ST",INDEX(DadosNovoPCS!$E$2:$E$31,G36),IF($B$8="TP",INDEX(DadosNovoPCS!$F$2:$F$31,G36),IF($B$8="AD",INDEX(DadosNovoPCS!$C$2:$C$31,G36),IF($B$8="TI",INDEX(DadosNovoPCS!$D$2:$D$31,G36),""))))),"")</f>
        <v>8783.89</v>
      </c>
      <c r="I36" s="28">
        <f t="shared" si="5"/>
        <v>114190.57</v>
      </c>
      <c r="J36" s="28">
        <f>IF(A36&lt;=$B$9,ROUND(SUM($I$29:I36)-SUM($F$29:F36),2),"")</f>
        <v>-9722.59</v>
      </c>
    </row>
    <row r="37" spans="1:10">
      <c r="A37" s="26">
        <v>9</v>
      </c>
      <c r="B37" s="27">
        <f t="shared" si="0"/>
        <v>49157</v>
      </c>
      <c r="C37" s="26">
        <f t="shared" si="1"/>
        <v>12</v>
      </c>
      <c r="D37" s="26">
        <f t="shared" si="2"/>
        <v>6</v>
      </c>
      <c r="E37" s="28">
        <f>IF(A37&lt;=$B$9,ROUND((IF($B$6="TB",INDEX(DadosPCS!$B$2:$B$16,C37),INDEX(DadosPCS!$C$2:$C$13,C37))+MIN(IF($B$6="TB",INDEX(DadosPCS!$B$2:$B$16,C37),INDEX(DadosPCS!$C$2:$C$13,C37))*D37*5%,$B$23))*4/3,2),"")</f>
        <v>9738.92</v>
      </c>
      <c r="F37" s="28">
        <f t="shared" si="4"/>
        <v>126605.96</v>
      </c>
      <c r="G37" s="26">
        <f t="shared" si="3"/>
        <v>24</v>
      </c>
      <c r="H37" s="28">
        <f>IF(A37&lt;=$B$9,IF($B$8="B",INDEX(DadosNovoPCS!$B$2:$B$31,G37),IF($B$8="ST",INDEX(DadosNovoPCS!$E$2:$E$31,G37),IF($B$8="TP",INDEX(DadosNovoPCS!$F$2:$F$31,G37),IF($B$8="AD",INDEX(DadosNovoPCS!$C$2:$C$31,G37),IF($B$8="TI",INDEX(DadosNovoPCS!$D$2:$D$31,G37),""))))),"")</f>
        <v>9091.33</v>
      </c>
      <c r="I37" s="28">
        <f t="shared" si="5"/>
        <v>118187.29</v>
      </c>
      <c r="J37" s="28">
        <f>IF(A37&lt;=$B$9,ROUND(SUM($I$29:I37)-SUM($F$29:F37),2),"")</f>
        <v>-18141.259999999998</v>
      </c>
    </row>
    <row r="38" spans="1:10">
      <c r="A38" s="26">
        <v>10</v>
      </c>
      <c r="B38" s="27">
        <f t="shared" si="0"/>
        <v>49522</v>
      </c>
      <c r="C38" s="26">
        <f t="shared" si="1"/>
        <v>12</v>
      </c>
      <c r="D38" s="26">
        <f t="shared" si="2"/>
        <v>6</v>
      </c>
      <c r="E38" s="28">
        <f>IF(A38&lt;=$B$9,ROUND((IF($B$6="TB",INDEX(DadosPCS!$B$2:$B$16,C38),INDEX(DadosPCS!$C$2:$C$13,C38))+MIN(IF($B$6="TB",INDEX(DadosPCS!$B$2:$B$16,C38),INDEX(DadosPCS!$C$2:$C$13,C38))*D38*5%,$B$23))*4/3,2),"")</f>
        <v>9738.92</v>
      </c>
      <c r="F38" s="28">
        <f t="shared" si="4"/>
        <v>126605.96</v>
      </c>
      <c r="G38" s="26">
        <f t="shared" si="3"/>
        <v>25</v>
      </c>
      <c r="H38" s="28">
        <f>IF(A38&lt;=$B$9,IF($B$8="B",INDEX(DadosNovoPCS!$B$2:$B$31,G38),IF($B$8="ST",INDEX(DadosNovoPCS!$E$2:$E$31,G38),IF($B$8="TP",INDEX(DadosNovoPCS!$F$2:$F$31,G38),IF($B$8="AD",INDEX(DadosNovoPCS!$C$2:$C$31,G38),IF($B$8="TI",INDEX(DadosNovoPCS!$D$2:$D$31,G38),""))))),"")</f>
        <v>9409.5300000000007</v>
      </c>
      <c r="I38" s="28">
        <f t="shared" si="5"/>
        <v>122323.89</v>
      </c>
      <c r="J38" s="28">
        <f>IF(A38&lt;=$B$9,ROUND(SUM($I$29:I38)-SUM($F$29:F38),2),"")</f>
        <v>-22423.33</v>
      </c>
    </row>
    <row r="39" spans="1:10">
      <c r="A39" s="26">
        <v>11</v>
      </c>
      <c r="B39" s="27">
        <f t="shared" si="0"/>
        <v>49888</v>
      </c>
      <c r="C39" s="26">
        <f t="shared" si="1"/>
        <v>13</v>
      </c>
      <c r="D39" s="26">
        <f t="shared" si="2"/>
        <v>6</v>
      </c>
      <c r="E39" s="28">
        <f>IF(A39&lt;=$B$9,ROUND((IF($B$6="TB",INDEX(DadosPCS!$B$2:$B$16,C39),INDEX(DadosPCS!$C$2:$C$13,C39))+MIN(IF($B$6="TB",INDEX(DadosPCS!$B$2:$B$16,C39),INDEX(DadosPCS!$C$2:$C$13,C39))*D39*5%,$B$23))*4/3,2),"")</f>
        <v>10420.64</v>
      </c>
      <c r="F39" s="28">
        <f t="shared" si="4"/>
        <v>135468.32</v>
      </c>
      <c r="G39" s="26">
        <f t="shared" si="3"/>
        <v>26</v>
      </c>
      <c r="H39" s="28">
        <f>IF(A39&lt;=$B$9,IF($B$8="B",INDEX(DadosNovoPCS!$B$2:$B$31,G39),IF($B$8="ST",INDEX(DadosNovoPCS!$E$2:$E$31,G39),IF($B$8="TP",INDEX(DadosNovoPCS!$F$2:$F$31,G39),IF($B$8="AD",INDEX(DadosNovoPCS!$C$2:$C$31,G39),IF($B$8="TI",INDEX(DadosNovoPCS!$D$2:$D$31,G39),""))))),"")</f>
        <v>9738.86</v>
      </c>
      <c r="I39" s="28">
        <f t="shared" si="5"/>
        <v>126605.18</v>
      </c>
      <c r="J39" s="28">
        <f>IF(A39&lt;=$B$9,ROUND(SUM($I$29:I39)-SUM($F$29:F39),2),"")</f>
        <v>-31286.47</v>
      </c>
    </row>
    <row r="40" spans="1:10">
      <c r="A40" s="26">
        <v>12</v>
      </c>
      <c r="B40" s="27">
        <f t="shared" si="0"/>
        <v>50253</v>
      </c>
      <c r="C40" s="26">
        <f t="shared" si="1"/>
        <v>13</v>
      </c>
      <c r="D40" s="26">
        <f t="shared" si="2"/>
        <v>6</v>
      </c>
      <c r="E40" s="28">
        <f>IF(A40&lt;=$B$9,ROUND((IF($B$6="TB",INDEX(DadosPCS!$B$2:$B$16,C40),INDEX(DadosPCS!$C$2:$C$13,C40))+MIN(IF($B$6="TB",INDEX(DadosPCS!$B$2:$B$16,C40),INDEX(DadosPCS!$C$2:$C$13,C40))*D40*5%,$B$23))*4/3,2),"")</f>
        <v>10420.64</v>
      </c>
      <c r="F40" s="28">
        <f t="shared" si="4"/>
        <v>135468.32</v>
      </c>
      <c r="G40" s="26">
        <f t="shared" si="3"/>
        <v>27</v>
      </c>
      <c r="H40" s="28">
        <f>IF(A40&lt;=$B$9,IF($B$8="B",INDEX(DadosNovoPCS!$B$2:$B$31,G40),IF($B$8="ST",INDEX(DadosNovoPCS!$E$2:$E$31,G40),IF($B$8="TP",INDEX(DadosNovoPCS!$F$2:$F$31,G40),IF($B$8="AD",INDEX(DadosNovoPCS!$C$2:$C$31,G40),IF($B$8="TI",INDEX(DadosNovoPCS!$D$2:$D$31,G40),""))))),"")</f>
        <v>10079.719999999999</v>
      </c>
      <c r="I40" s="28">
        <f t="shared" si="5"/>
        <v>131036.36</v>
      </c>
      <c r="J40" s="28">
        <f>IF(A40&lt;=$B$9,ROUND(SUM($I$29:I40)-SUM($F$29:F40),2),"")</f>
        <v>-35718.43</v>
      </c>
    </row>
    <row r="41" spans="1:10">
      <c r="A41" s="26">
        <v>13</v>
      </c>
      <c r="B41" s="27">
        <f t="shared" si="0"/>
        <v>50618</v>
      </c>
      <c r="C41" s="26">
        <f t="shared" si="1"/>
        <v>14</v>
      </c>
      <c r="D41" s="26">
        <f t="shared" si="2"/>
        <v>7</v>
      </c>
      <c r="E41" s="28">
        <f>IF(A41&lt;=$B$9,ROUND((IF($B$6="TB",INDEX(DadosPCS!$B$2:$B$16,C41),INDEX(DadosPCS!$C$2:$C$13,C41))+MIN(IF($B$6="TB",INDEX(DadosPCS!$B$2:$B$16,C41),INDEX(DadosPCS!$C$2:$C$13,C41))*D41*5%,$B$23))*4/3,2),"")</f>
        <v>11578.95</v>
      </c>
      <c r="F41" s="28">
        <f t="shared" si="4"/>
        <v>150526.35</v>
      </c>
      <c r="G41" s="26">
        <f t="shared" si="3"/>
        <v>28</v>
      </c>
      <c r="H41" s="28">
        <f>IF(A41&lt;=$B$9,IF($B$8="B",INDEX(DadosNovoPCS!$B$2:$B$31,G41),IF($B$8="ST",INDEX(DadosNovoPCS!$E$2:$E$31,G41),IF($B$8="TP",INDEX(DadosNovoPCS!$F$2:$F$31,G41),IF($B$8="AD",INDEX(DadosNovoPCS!$C$2:$C$31,G41),IF($B$8="TI",INDEX(DadosNovoPCS!$D$2:$D$31,G41),""))))),"")</f>
        <v>10432.51</v>
      </c>
      <c r="I41" s="28">
        <f t="shared" si="5"/>
        <v>135622.63</v>
      </c>
      <c r="J41" s="28">
        <f>IF(A41&lt;=$B$9,ROUND(SUM($I$29:I41)-SUM($F$29:F41),2),"")</f>
        <v>-50622.15</v>
      </c>
    </row>
    <row r="42" spans="1:10">
      <c r="A42" s="26">
        <v>14</v>
      </c>
      <c r="B42" s="27">
        <f t="shared" si="0"/>
        <v>50983</v>
      </c>
      <c r="C42" s="26">
        <f t="shared" si="1"/>
        <v>14</v>
      </c>
      <c r="D42" s="26">
        <f t="shared" si="2"/>
        <v>7</v>
      </c>
      <c r="E42" s="28">
        <f>IF(A42&lt;=$B$9,ROUND((IF($B$6="TB",INDEX(DadosPCS!$B$2:$B$16,C42),INDEX(DadosPCS!$C$2:$C$13,C42))+MIN(IF($B$6="TB",INDEX(DadosPCS!$B$2:$B$16,C42),INDEX(DadosPCS!$C$2:$C$13,C42))*D42*5%,$B$23))*4/3,2),"")</f>
        <v>11578.95</v>
      </c>
      <c r="F42" s="28">
        <f t="shared" si="4"/>
        <v>150526.35</v>
      </c>
      <c r="G42" s="26">
        <f t="shared" si="3"/>
        <v>29</v>
      </c>
      <c r="H42" s="28">
        <f>IF(A42&lt;=$B$9,IF($B$8="B",INDEX(DadosNovoPCS!$B$2:$B$31,G42),IF($B$8="ST",INDEX(DadosNovoPCS!$E$2:$E$31,G42),IF($B$8="TP",INDEX(DadosNovoPCS!$F$2:$F$31,G42),IF($B$8="AD",INDEX(DadosNovoPCS!$C$2:$C$31,G42),IF($B$8="TI",INDEX(DadosNovoPCS!$D$2:$D$31,G42),""))))),"")</f>
        <v>10797.65</v>
      </c>
      <c r="I42" s="28">
        <f t="shared" si="5"/>
        <v>140369.45000000001</v>
      </c>
      <c r="J42" s="28">
        <f>IF(A42&lt;=$B$9,ROUND(SUM($I$29:I42)-SUM($F$29:F42),2),"")</f>
        <v>-60779.05</v>
      </c>
    </row>
    <row r="43" spans="1:10">
      <c r="A43" s="26">
        <v>15</v>
      </c>
      <c r="B43" s="27">
        <f t="shared" si="0"/>
        <v>51349</v>
      </c>
      <c r="C43" s="26">
        <f t="shared" si="1"/>
        <v>15</v>
      </c>
      <c r="D43" s="26">
        <f t="shared" si="2"/>
        <v>7</v>
      </c>
      <c r="E43" s="28">
        <f>IF(A43&lt;=$B$9,ROUND((IF($B$6="TB",INDEX(DadosPCS!$B$2:$B$16,C43),INDEX(DadosPCS!$C$2:$C$13,C43))+MIN(IF($B$6="TB",INDEX(DadosPCS!$B$2:$B$16,C43),INDEX(DadosPCS!$C$2:$C$13,C43))*D43*5%,$B$23))*4/3,2),"")</f>
        <v>12389.47</v>
      </c>
      <c r="F43" s="28">
        <f t="shared" si="4"/>
        <v>161063.10999999999</v>
      </c>
      <c r="G43" s="26">
        <f t="shared" si="3"/>
        <v>30</v>
      </c>
      <c r="H43" s="28">
        <f>IF(A43&lt;=$B$9,IF($B$8="B",INDEX(DadosNovoPCS!$B$2:$B$31,G43),IF($B$8="ST",INDEX(DadosNovoPCS!$E$2:$E$31,G43),IF($B$8="TP",INDEX(DadosNovoPCS!$F$2:$F$31,G43),IF($B$8="AD",INDEX(DadosNovoPCS!$C$2:$C$31,G43),IF($B$8="TI",INDEX(DadosNovoPCS!$D$2:$D$31,G43),""))))),"")</f>
        <v>11175.56</v>
      </c>
      <c r="I43" s="28">
        <f t="shared" si="5"/>
        <v>145282.28</v>
      </c>
      <c r="J43" s="28">
        <f>IF(A43&lt;=$B$9,ROUND(SUM($I$29:I43)-SUM($F$29:F43),2),"")</f>
        <v>-76559.88</v>
      </c>
    </row>
    <row r="44" spans="1:10">
      <c r="A44" s="26">
        <v>16</v>
      </c>
      <c r="B44" s="27">
        <f t="shared" si="0"/>
        <v>51714</v>
      </c>
      <c r="C44" s="26">
        <f t="shared" si="1"/>
        <v>15</v>
      </c>
      <c r="D44" s="26">
        <f t="shared" si="2"/>
        <v>7</v>
      </c>
      <c r="E44" s="28">
        <f>IF(A44&lt;=$B$9,ROUND((IF($B$6="TB",INDEX(DadosPCS!$B$2:$B$16,C44),INDEX(DadosPCS!$C$2:$C$13,C44))+MIN(IF($B$6="TB",INDEX(DadosPCS!$B$2:$B$16,C44),INDEX(DadosPCS!$C$2:$C$13,C44))*D44*5%,$B$23))*4/3,2),"")</f>
        <v>12389.47</v>
      </c>
      <c r="F44" s="28">
        <f t="shared" si="4"/>
        <v>161063.10999999999</v>
      </c>
      <c r="G44" s="26">
        <f t="shared" si="3"/>
        <v>30</v>
      </c>
      <c r="H44" s="28">
        <f>IF(A44&lt;=$B$9,IF($B$8="B",INDEX(DadosNovoPCS!$B$2:$B$31,G44),IF($B$8="ST",INDEX(DadosNovoPCS!$E$2:$E$31,G44),IF($B$8="TP",INDEX(DadosNovoPCS!$F$2:$F$31,G44),IF($B$8="AD",INDEX(DadosNovoPCS!$C$2:$C$31,G44),IF($B$8="TI",INDEX(DadosNovoPCS!$D$2:$D$31,G44),""))))),"")</f>
        <v>11175.56</v>
      </c>
      <c r="I44" s="28">
        <f t="shared" si="5"/>
        <v>145282.28</v>
      </c>
      <c r="J44" s="28">
        <f>IF(A44&lt;=$B$9,ROUND(SUM($I$29:I44)-SUM($F$29:F44),2),"")</f>
        <v>-92340.71</v>
      </c>
    </row>
    <row r="45" spans="1:10">
      <c r="A45" s="26">
        <v>17</v>
      </c>
      <c r="B45" s="27">
        <f t="shared" si="0"/>
        <v>52079</v>
      </c>
      <c r="C45" s="26">
        <f t="shared" si="1"/>
        <v>15</v>
      </c>
      <c r="D45" s="26">
        <f t="shared" si="2"/>
        <v>7</v>
      </c>
      <c r="E45" s="28">
        <f>IF(A45&lt;=$B$9,ROUND((IF($B$6="TB",INDEX(DadosPCS!$B$2:$B$16,C45),INDEX(DadosPCS!$C$2:$C$13,C45))+MIN(IF($B$6="TB",INDEX(DadosPCS!$B$2:$B$16,C45),INDEX(DadosPCS!$C$2:$C$13,C45))*D45*5%,$B$23))*4/3,2),"")</f>
        <v>12389.47</v>
      </c>
      <c r="F45" s="28">
        <f t="shared" si="4"/>
        <v>161063.10999999999</v>
      </c>
      <c r="G45" s="26">
        <f t="shared" si="3"/>
        <v>30</v>
      </c>
      <c r="H45" s="28">
        <f>IF(A45&lt;=$B$9,IF($B$8="B",INDEX(DadosNovoPCS!$B$2:$B$31,G45),IF($B$8="ST",INDEX(DadosNovoPCS!$E$2:$E$31,G45),IF($B$8="TP",INDEX(DadosNovoPCS!$F$2:$F$31,G45),IF($B$8="AD",INDEX(DadosNovoPCS!$C$2:$C$31,G45),IF($B$8="TI",INDEX(DadosNovoPCS!$D$2:$D$31,G45),""))))),"")</f>
        <v>11175.56</v>
      </c>
      <c r="I45" s="28">
        <f t="shared" si="5"/>
        <v>145282.28</v>
      </c>
      <c r="J45" s="28">
        <f>IF(A45&lt;=$B$9,ROUND(SUM($I$29:I45)-SUM($F$29:F45),2),"")</f>
        <v>-108121.54</v>
      </c>
    </row>
    <row r="46" spans="1:10">
      <c r="A46" s="26">
        <v>18</v>
      </c>
      <c r="B46" s="27">
        <f t="shared" si="0"/>
        <v>52444</v>
      </c>
      <c r="C46" s="26">
        <f t="shared" si="1"/>
        <v>15</v>
      </c>
      <c r="D46" s="26">
        <f t="shared" si="2"/>
        <v>8</v>
      </c>
      <c r="E46" s="28">
        <f>IF(A46&lt;=$B$9,ROUND((IF($B$6="TB",INDEX(DadosPCS!$B$2:$B$16,C46),INDEX(DadosPCS!$C$2:$C$13,C46))+MIN(IF($B$6="TB",INDEX(DadosPCS!$B$2:$B$16,C46),INDEX(DadosPCS!$C$2:$C$13,C46))*D46*5%,$B$23))*4/3,2),"")</f>
        <v>12610.15</v>
      </c>
      <c r="F46" s="28">
        <f t="shared" si="4"/>
        <v>163931.95000000001</v>
      </c>
      <c r="G46" s="26">
        <f t="shared" si="3"/>
        <v>30</v>
      </c>
      <c r="H46" s="28">
        <f>IF(A46&lt;=$B$9,IF($B$8="B",INDEX(DadosNovoPCS!$B$2:$B$31,G46),IF($B$8="ST",INDEX(DadosNovoPCS!$E$2:$E$31,G46),IF($B$8="TP",INDEX(DadosNovoPCS!$F$2:$F$31,G46),IF($B$8="AD",INDEX(DadosNovoPCS!$C$2:$C$31,G46),IF($B$8="TI",INDEX(DadosNovoPCS!$D$2:$D$31,G46),""))))),"")</f>
        <v>11175.56</v>
      </c>
      <c r="I46" s="28">
        <f t="shared" si="5"/>
        <v>145282.28</v>
      </c>
      <c r="J46" s="28">
        <f>IF(A46&lt;=$B$9,ROUND(SUM($I$29:I46)-SUM($F$29:F46),2),"")</f>
        <v>-126771.21</v>
      </c>
    </row>
    <row r="47" spans="1:10">
      <c r="A47" s="26">
        <v>19</v>
      </c>
      <c r="B47" s="27">
        <f t="shared" si="0"/>
        <v>52810</v>
      </c>
      <c r="C47" s="26">
        <f t="shared" si="1"/>
        <v>15</v>
      </c>
      <c r="D47" s="26">
        <f t="shared" si="2"/>
        <v>8</v>
      </c>
      <c r="E47" s="28">
        <f>IF(A47&lt;=$B$9,ROUND((IF($B$6="TB",INDEX(DadosPCS!$B$2:$B$16,C47),INDEX(DadosPCS!$C$2:$C$13,C47))+MIN(IF($B$6="TB",INDEX(DadosPCS!$B$2:$B$16,C47),INDEX(DadosPCS!$C$2:$C$13,C47))*D47*5%,$B$23))*4/3,2),"")</f>
        <v>12610.15</v>
      </c>
      <c r="F47" s="28">
        <f t="shared" si="4"/>
        <v>163931.95000000001</v>
      </c>
      <c r="G47" s="26">
        <f t="shared" si="3"/>
        <v>30</v>
      </c>
      <c r="H47" s="28">
        <f>IF(A47&lt;=$B$9,IF($B$8="B",INDEX(DadosNovoPCS!$B$2:$B$31,G47),IF($B$8="ST",INDEX(DadosNovoPCS!$E$2:$E$31,G47),IF($B$8="TP",INDEX(DadosNovoPCS!$F$2:$F$31,G47),IF($B$8="AD",INDEX(DadosNovoPCS!$C$2:$C$31,G47),IF($B$8="TI",INDEX(DadosNovoPCS!$D$2:$D$31,G47),""))))),"")</f>
        <v>11175.56</v>
      </c>
      <c r="I47" s="28">
        <f t="shared" si="5"/>
        <v>145282.28</v>
      </c>
      <c r="J47" s="28">
        <f>IF(A47&lt;=$B$9,ROUND(SUM($I$29:I47)-SUM($F$29:F47),2),"")</f>
        <v>-145420.88</v>
      </c>
    </row>
    <row r="48" spans="1:10">
      <c r="A48" s="26">
        <v>20</v>
      </c>
      <c r="B48" s="27">
        <f t="shared" si="0"/>
        <v>53175</v>
      </c>
      <c r="C48" s="26">
        <f t="shared" si="1"/>
        <v>15</v>
      </c>
      <c r="D48" s="26">
        <f t="shared" si="2"/>
        <v>8</v>
      </c>
      <c r="E48" s="28">
        <f>IF(A48&lt;=$B$9,ROUND((IF($B$6="TB",INDEX(DadosPCS!$B$2:$B$16,C48),INDEX(DadosPCS!$C$2:$C$13,C48))+MIN(IF($B$6="TB",INDEX(DadosPCS!$B$2:$B$16,C48),INDEX(DadosPCS!$C$2:$C$13,C48))*D48*5%,$B$23))*4/3,2),"")</f>
        <v>12610.15</v>
      </c>
      <c r="F48" s="28">
        <f t="shared" si="4"/>
        <v>163931.95000000001</v>
      </c>
      <c r="G48" s="26">
        <f t="shared" si="3"/>
        <v>30</v>
      </c>
      <c r="H48" s="28">
        <f>IF(A48&lt;=$B$9,IF($B$8="B",INDEX(DadosNovoPCS!$B$2:$B$31,G48),IF($B$8="ST",INDEX(DadosNovoPCS!$E$2:$E$31,G48),IF($B$8="TP",INDEX(DadosNovoPCS!$F$2:$F$31,G48),IF($B$8="AD",INDEX(DadosNovoPCS!$C$2:$C$31,G48),IF($B$8="TI",INDEX(DadosNovoPCS!$D$2:$D$31,G48),""))))),"")</f>
        <v>11175.56</v>
      </c>
      <c r="I48" s="28">
        <f t="shared" si="5"/>
        <v>145282.28</v>
      </c>
      <c r="J48" s="28">
        <f>IF(A48&lt;=$B$9,ROUND(SUM($I$29:I48)-SUM($F$29:F48),2),"")</f>
        <v>-164070.54999999999</v>
      </c>
    </row>
    <row r="49" spans="1:10">
      <c r="A49" s="26">
        <v>21</v>
      </c>
      <c r="B49" s="27">
        <f t="shared" si="0"/>
        <v>53540</v>
      </c>
      <c r="C49" s="26">
        <f t="shared" si="1"/>
        <v>15</v>
      </c>
      <c r="D49" s="26">
        <f t="shared" si="2"/>
        <v>8</v>
      </c>
      <c r="E49" s="28">
        <f>IF(A49&lt;=$B$9,ROUND((IF($B$6="TB",INDEX(DadosPCS!$B$2:$B$16,C49),INDEX(DadosPCS!$C$2:$C$13,C49))+MIN(IF($B$6="TB",INDEX(DadosPCS!$B$2:$B$16,C49),INDEX(DadosPCS!$C$2:$C$13,C49))*D49*5%,$B$23))*4/3,2),"")</f>
        <v>12610.15</v>
      </c>
      <c r="F49" s="28">
        <f t="shared" si="4"/>
        <v>163931.95000000001</v>
      </c>
      <c r="G49" s="26">
        <f t="shared" si="3"/>
        <v>30</v>
      </c>
      <c r="H49" s="28">
        <f>IF(A49&lt;=$B$9,IF($B$8="B",INDEX(DadosNovoPCS!$B$2:$B$31,G49),IF($B$8="ST",INDEX(DadosNovoPCS!$E$2:$E$31,G49),IF($B$8="TP",INDEX(DadosNovoPCS!$F$2:$F$31,G49),IF($B$8="AD",INDEX(DadosNovoPCS!$C$2:$C$31,G49),IF($B$8="TI",INDEX(DadosNovoPCS!$D$2:$D$31,G49),""))))),"")</f>
        <v>11175.56</v>
      </c>
      <c r="I49" s="28">
        <f t="shared" si="5"/>
        <v>145282.28</v>
      </c>
      <c r="J49" s="28">
        <f>IF(A49&lt;=$B$9,ROUND(SUM($I$29:I49)-SUM($F$29:F49),2),"")</f>
        <v>-182720.22</v>
      </c>
    </row>
    <row r="50" spans="1:10">
      <c r="A50" s="26">
        <v>22</v>
      </c>
      <c r="B50" s="27">
        <f t="shared" si="0"/>
        <v>53905</v>
      </c>
      <c r="C50" s="26">
        <f t="shared" si="1"/>
        <v>15</v>
      </c>
      <c r="D50" s="26">
        <f t="shared" si="2"/>
        <v>8</v>
      </c>
      <c r="E50" s="28">
        <f>IF(A50&lt;=$B$9,ROUND((IF($B$6="TB",INDEX(DadosPCS!$B$2:$B$16,C50),INDEX(DadosPCS!$C$2:$C$13,C50))+MIN(IF($B$6="TB",INDEX(DadosPCS!$B$2:$B$16,C50),INDEX(DadosPCS!$C$2:$C$13,C50))*D50*5%,$B$23))*4/3,2),"")</f>
        <v>12610.15</v>
      </c>
      <c r="F50" s="28">
        <f t="shared" si="4"/>
        <v>163931.95000000001</v>
      </c>
      <c r="G50" s="26">
        <f t="shared" si="3"/>
        <v>30</v>
      </c>
      <c r="H50" s="28">
        <f>IF(A50&lt;=$B$9,IF($B$8="B",INDEX(DadosNovoPCS!$B$2:$B$31,G50),IF($B$8="ST",INDEX(DadosNovoPCS!$E$2:$E$31,G50),IF($B$8="TP",INDEX(DadosNovoPCS!$F$2:$F$31,G50),IF($B$8="AD",INDEX(DadosNovoPCS!$C$2:$C$31,G50),IF($B$8="TI",INDEX(DadosNovoPCS!$D$2:$D$31,G50),""))))),"")</f>
        <v>11175.56</v>
      </c>
      <c r="I50" s="28">
        <f t="shared" si="5"/>
        <v>145282.28</v>
      </c>
      <c r="J50" s="28">
        <f>IF(A50&lt;=$B$9,ROUND(SUM($I$29:I50)-SUM($F$29:F50),2),"")</f>
        <v>-201369.89</v>
      </c>
    </row>
    <row r="51" spans="1:10">
      <c r="A51" s="26">
        <v>23</v>
      </c>
      <c r="B51" s="27">
        <f t="shared" si="0"/>
        <v>54271</v>
      </c>
      <c r="C51" s="26">
        <f t="shared" si="1"/>
        <v>15</v>
      </c>
      <c r="D51" s="26">
        <f t="shared" si="2"/>
        <v>9</v>
      </c>
      <c r="E51" s="28">
        <f>IF(A51&lt;=$B$9,ROUND((IF($B$6="TB",INDEX(DadosPCS!$B$2:$B$16,C51),INDEX(DadosPCS!$C$2:$C$13,C51))+MIN(IF($B$6="TB",INDEX(DadosPCS!$B$2:$B$16,C51),INDEX(DadosPCS!$C$2:$C$13,C51))*D51*5%,$B$23))*4/3,2),"")</f>
        <v>12610.15</v>
      </c>
      <c r="F51" s="28">
        <f t="shared" si="4"/>
        <v>163931.95000000001</v>
      </c>
      <c r="G51" s="26">
        <f t="shared" si="3"/>
        <v>30</v>
      </c>
      <c r="H51" s="28">
        <f>IF(A51&lt;=$B$9,IF($B$8="B",INDEX(DadosNovoPCS!$B$2:$B$31,G51),IF($B$8="ST",INDEX(DadosNovoPCS!$E$2:$E$31,G51),IF($B$8="TP",INDEX(DadosNovoPCS!$F$2:$F$31,G51),IF($B$8="AD",INDEX(DadosNovoPCS!$C$2:$C$31,G51),IF($B$8="TI",INDEX(DadosNovoPCS!$D$2:$D$31,G51),""))))),"")</f>
        <v>11175.56</v>
      </c>
      <c r="I51" s="28">
        <f t="shared" si="5"/>
        <v>145282.28</v>
      </c>
      <c r="J51" s="28">
        <f>IF(A51&lt;=$B$9,ROUND(SUM($I$29:I51)-SUM($F$29:F51),2),"")</f>
        <v>-220019.56</v>
      </c>
    </row>
    <row r="52" spans="1:10">
      <c r="A52" s="26">
        <v>24</v>
      </c>
      <c r="B52" s="27">
        <f t="shared" si="0"/>
        <v>54636</v>
      </c>
      <c r="C52" s="26">
        <f t="shared" si="1"/>
        <v>15</v>
      </c>
      <c r="D52" s="26">
        <f t="shared" si="2"/>
        <v>9</v>
      </c>
      <c r="E52" s="28">
        <f>IF(A52&lt;=$B$9,ROUND((IF($B$6="TB",INDEX(DadosPCS!$B$2:$B$16,C52),INDEX(DadosPCS!$C$2:$C$13,C52))+MIN(IF($B$6="TB",INDEX(DadosPCS!$B$2:$B$16,C52),INDEX(DadosPCS!$C$2:$C$13,C52))*D52*5%,$B$23))*4/3,2),"")</f>
        <v>12610.15</v>
      </c>
      <c r="F52" s="28">
        <f t="shared" si="4"/>
        <v>163931.95000000001</v>
      </c>
      <c r="G52" s="26">
        <f t="shared" si="3"/>
        <v>30</v>
      </c>
      <c r="H52" s="28">
        <f>IF(A52&lt;=$B$9,IF($B$8="B",INDEX(DadosNovoPCS!$B$2:$B$31,G52),IF($B$8="ST",INDEX(DadosNovoPCS!$E$2:$E$31,G52),IF($B$8="TP",INDEX(DadosNovoPCS!$F$2:$F$31,G52),IF($B$8="AD",INDEX(DadosNovoPCS!$C$2:$C$31,G52),IF($B$8="TI",INDEX(DadosNovoPCS!$D$2:$D$31,G52),""))))),"")</f>
        <v>11175.56</v>
      </c>
      <c r="I52" s="28">
        <f t="shared" si="5"/>
        <v>145282.28</v>
      </c>
      <c r="J52" s="28">
        <f>IF(A52&lt;=$B$9,ROUND(SUM($I$29:I52)-SUM($F$29:F52),2),"")</f>
        <v>-238669.23</v>
      </c>
    </row>
    <row r="53" spans="1:10">
      <c r="A53" s="26">
        <v>25</v>
      </c>
      <c r="B53" s="27">
        <f t="shared" si="0"/>
        <v>55001</v>
      </c>
      <c r="C53" s="26">
        <f t="shared" si="1"/>
        <v>15</v>
      </c>
      <c r="D53" s="26">
        <f t="shared" si="2"/>
        <v>9</v>
      </c>
      <c r="E53" s="28">
        <f>IF(A53&lt;=$B$9,ROUND((IF($B$6="TB",INDEX(DadosPCS!$B$2:$B$16,C53),INDEX(DadosPCS!$C$2:$C$13,C53))+MIN(IF($B$6="TB",INDEX(DadosPCS!$B$2:$B$16,C53),INDEX(DadosPCS!$C$2:$C$13,C53))*D53*5%,$B$23))*4/3,2),"")</f>
        <v>12610.15</v>
      </c>
      <c r="F53" s="28">
        <f t="shared" si="4"/>
        <v>163931.95000000001</v>
      </c>
      <c r="G53" s="26">
        <f t="shared" si="3"/>
        <v>30</v>
      </c>
      <c r="H53" s="28">
        <f>IF(A53&lt;=$B$9,IF($B$8="B",INDEX(DadosNovoPCS!$B$2:$B$31,G53),IF($B$8="ST",INDEX(DadosNovoPCS!$E$2:$E$31,G53),IF($B$8="TP",INDEX(DadosNovoPCS!$F$2:$F$31,G53),IF($B$8="AD",INDEX(DadosNovoPCS!$C$2:$C$31,G53),IF($B$8="TI",INDEX(DadosNovoPCS!$D$2:$D$31,G53),""))))),"")</f>
        <v>11175.56</v>
      </c>
      <c r="I53" s="28">
        <f t="shared" si="5"/>
        <v>145282.28</v>
      </c>
      <c r="J53" s="28">
        <f>IF(A53&lt;=$B$9,ROUND(SUM($I$29:I53)-SUM($F$29:F53),2),"")</f>
        <v>-257318.9</v>
      </c>
    </row>
    <row r="54" spans="1:10">
      <c r="A54" s="26">
        <v>26</v>
      </c>
      <c r="B54" s="27">
        <f t="shared" si="0"/>
        <v>55366</v>
      </c>
      <c r="C54" s="26">
        <f t="shared" si="1"/>
        <v>15</v>
      </c>
      <c r="D54" s="26">
        <f t="shared" si="2"/>
        <v>9</v>
      </c>
      <c r="E54" s="28">
        <f>IF(A54&lt;=$B$9,ROUND((IF($B$6="TB",INDEX(DadosPCS!$B$2:$B$16,C54),INDEX(DadosPCS!$C$2:$C$13,C54))+MIN(IF($B$6="TB",INDEX(DadosPCS!$B$2:$B$16,C54),INDEX(DadosPCS!$C$2:$C$13,C54))*D54*5%,$B$23))*4/3,2),"")</f>
        <v>12610.15</v>
      </c>
      <c r="F54" s="28">
        <f t="shared" si="4"/>
        <v>163931.95000000001</v>
      </c>
      <c r="G54" s="26">
        <f t="shared" si="3"/>
        <v>30</v>
      </c>
      <c r="H54" s="28">
        <f>IF(A54&lt;=$B$9,IF($B$8="B",INDEX(DadosNovoPCS!$B$2:$B$31,G54),IF($B$8="ST",INDEX(DadosNovoPCS!$E$2:$E$31,G54),IF($B$8="TP",INDEX(DadosNovoPCS!$F$2:$F$31,G54),IF($B$8="AD",INDEX(DadosNovoPCS!$C$2:$C$31,G54),IF($B$8="TI",INDEX(DadosNovoPCS!$D$2:$D$31,G54),""))))),"")</f>
        <v>11175.56</v>
      </c>
      <c r="I54" s="28">
        <f t="shared" si="5"/>
        <v>145282.28</v>
      </c>
      <c r="J54" s="28">
        <f>IF(A54&lt;=$B$9,ROUND(SUM($I$29:I54)-SUM($F$29:F54),2),"")</f>
        <v>-275968.57</v>
      </c>
    </row>
    <row r="55" spans="1:10">
      <c r="A55" s="26">
        <v>27</v>
      </c>
      <c r="B55" s="27">
        <f t="shared" si="0"/>
        <v>55732</v>
      </c>
      <c r="C55" s="26">
        <f t="shared" si="1"/>
        <v>15</v>
      </c>
      <c r="D55" s="26">
        <f t="shared" si="2"/>
        <v>9</v>
      </c>
      <c r="E55" s="28">
        <f>IF(A55&lt;=$B$9,ROUND((IF($B$6="TB",INDEX(DadosPCS!$B$2:$B$16,C55),INDEX(DadosPCS!$C$2:$C$13,C55))+MIN(IF($B$6="TB",INDEX(DadosPCS!$B$2:$B$16,C55),INDEX(DadosPCS!$C$2:$C$13,C55))*D55*5%,$B$23))*4/3,2),"")</f>
        <v>12610.15</v>
      </c>
      <c r="F55" s="28">
        <f t="shared" si="4"/>
        <v>163931.95000000001</v>
      </c>
      <c r="G55" s="26">
        <f t="shared" si="3"/>
        <v>30</v>
      </c>
      <c r="H55" s="28">
        <f>IF(A55&lt;=$B$9,IF($B$8="B",INDEX(DadosNovoPCS!$B$2:$B$31,G55),IF($B$8="ST",INDEX(DadosNovoPCS!$E$2:$E$31,G55),IF($B$8="TP",INDEX(DadosNovoPCS!$F$2:$F$31,G55),IF($B$8="AD",INDEX(DadosNovoPCS!$C$2:$C$31,G55),IF($B$8="TI",INDEX(DadosNovoPCS!$D$2:$D$31,G55),""))))),"")</f>
        <v>11175.56</v>
      </c>
      <c r="I55" s="28">
        <f t="shared" si="5"/>
        <v>145282.28</v>
      </c>
      <c r="J55" s="28">
        <f>IF(A55&lt;=$B$9,ROUND(SUM($I$29:I55)-SUM($F$29:F55),2),"")</f>
        <v>-294618.23999999999</v>
      </c>
    </row>
    <row r="56" spans="1:10">
      <c r="A56" s="26">
        <v>28</v>
      </c>
      <c r="B56" s="27">
        <f t="shared" si="0"/>
        <v>56097</v>
      </c>
      <c r="C56" s="26">
        <f t="shared" si="1"/>
        <v>15</v>
      </c>
      <c r="D56" s="26">
        <f t="shared" si="2"/>
        <v>10</v>
      </c>
      <c r="E56" s="28">
        <f>IF(A56&lt;=$B$9,ROUND((IF($B$6="TB",INDEX(DadosPCS!$B$2:$B$16,C56),INDEX(DadosPCS!$C$2:$C$13,C56))+MIN(IF($B$6="TB",INDEX(DadosPCS!$B$2:$B$16,C56),INDEX(DadosPCS!$C$2:$C$13,C56))*D56*5%,$B$23))*4/3,2),"")</f>
        <v>12610.15</v>
      </c>
      <c r="F56" s="28">
        <f t="shared" si="4"/>
        <v>163931.95000000001</v>
      </c>
      <c r="G56" s="26">
        <f t="shared" si="3"/>
        <v>30</v>
      </c>
      <c r="H56" s="28">
        <f>IF(A56&lt;=$B$9,IF($B$8="B",INDEX(DadosNovoPCS!$B$2:$B$31,G56),IF($B$8="ST",INDEX(DadosNovoPCS!$E$2:$E$31,G56),IF($B$8="TP",INDEX(DadosNovoPCS!$F$2:$F$31,G56),IF($B$8="AD",INDEX(DadosNovoPCS!$C$2:$C$31,G56),IF($B$8="TI",INDEX(DadosNovoPCS!$D$2:$D$31,G56),""))))),"")</f>
        <v>11175.56</v>
      </c>
      <c r="I56" s="28">
        <f t="shared" si="5"/>
        <v>145282.28</v>
      </c>
      <c r="J56" s="28">
        <f>IF(A56&lt;=$B$9,ROUND(SUM($I$29:I56)-SUM($F$29:F56),2),"")</f>
        <v>-313267.90999999997</v>
      </c>
    </row>
    <row r="57" spans="1:10">
      <c r="A57" s="26">
        <v>29</v>
      </c>
      <c r="B57" s="27">
        <f t="shared" si="0"/>
        <v>56462</v>
      </c>
      <c r="C57" s="26">
        <f t="shared" si="1"/>
        <v>15</v>
      </c>
      <c r="D57" s="26">
        <f t="shared" si="2"/>
        <v>10</v>
      </c>
      <c r="E57" s="28">
        <f>IF(A57&lt;=$B$9,ROUND((IF($B$6="TB",INDEX(DadosPCS!$B$2:$B$16,C57),INDEX(DadosPCS!$C$2:$C$13,C57))+MIN(IF($B$6="TB",INDEX(DadosPCS!$B$2:$B$16,C57),INDEX(DadosPCS!$C$2:$C$13,C57))*D57*5%,$B$23))*4/3,2),"")</f>
        <v>12610.15</v>
      </c>
      <c r="F57" s="28">
        <f t="shared" si="4"/>
        <v>163931.95000000001</v>
      </c>
      <c r="G57" s="26">
        <f t="shared" si="3"/>
        <v>30</v>
      </c>
      <c r="H57" s="28">
        <f>IF(A57&lt;=$B$9,IF($B$8="B",INDEX(DadosNovoPCS!$B$2:$B$31,G57),IF($B$8="ST",INDEX(DadosNovoPCS!$E$2:$E$31,G57),IF($B$8="TP",INDEX(DadosNovoPCS!$F$2:$F$31,G57),IF($B$8="AD",INDEX(DadosNovoPCS!$C$2:$C$31,G57),IF($B$8="TI",INDEX(DadosNovoPCS!$D$2:$D$31,G57),""))))),"")</f>
        <v>11175.56</v>
      </c>
      <c r="I57" s="28">
        <f t="shared" si="5"/>
        <v>145282.28</v>
      </c>
      <c r="J57" s="28">
        <f>IF(A57&lt;=$B$9,ROUND(SUM($I$29:I57)-SUM($F$29:F57),2),"")</f>
        <v>-331917.58</v>
      </c>
    </row>
    <row r="58" spans="1:10">
      <c r="A58" s="26">
        <v>30</v>
      </c>
      <c r="B58" s="27" t="str">
        <f t="shared" si="0"/>
        <v/>
      </c>
      <c r="C58" s="26" t="str">
        <f t="shared" si="1"/>
        <v/>
      </c>
      <c r="D58" s="26" t="str">
        <f t="shared" si="2"/>
        <v/>
      </c>
      <c r="E58" s="28" t="str">
        <f>IF(A58&lt;=$B$9,ROUND((IF($B$6="TB",INDEX(DadosPCS!$B$2:$B$16,C58),INDEX(DadosPCS!$C$2:$C$13,C58))+MIN(IF($B$6="TB",INDEX(DadosPCS!$B$2:$B$16,C58),INDEX(DadosPCS!$C$2:$C$13,C58))*D58*5%,$B$23))*4/3,2),"")</f>
        <v/>
      </c>
      <c r="F58" s="28" t="str">
        <f t="shared" si="4"/>
        <v/>
      </c>
      <c r="G58" s="26" t="str">
        <f t="shared" si="3"/>
        <v/>
      </c>
      <c r="H58" s="28" t="str">
        <f>IF(A58&lt;=$B$9,IF($B$8="B",INDEX(DadosNovoPCS!$B$2:$B$31,G58),IF($B$8="ST",INDEX(DadosNovoPCS!$E$2:$E$31,G58),IF($B$8="TP",INDEX(DadosNovoPCS!$F$2:$F$31,G58),IF($B$8="AD",INDEX(DadosNovoPCS!$C$2:$C$31,G58),IF($B$8="TI",INDEX(DadosNovoPCS!$D$2:$D$31,G58),""))))),"")</f>
        <v/>
      </c>
      <c r="I58" s="28" t="str">
        <f t="shared" si="5"/>
        <v/>
      </c>
      <c r="J58" s="28" t="str">
        <f>IF(A58&lt;=$B$9,ROUND(SUM($I$29:I58)-SUM($F$29:F58),2),"")</f>
        <v/>
      </c>
    </row>
    <row r="59" spans="1:10">
      <c r="A59" s="26">
        <v>31</v>
      </c>
      <c r="B59" s="27" t="str">
        <f t="shared" si="0"/>
        <v/>
      </c>
      <c r="C59" s="26" t="str">
        <f t="shared" si="1"/>
        <v/>
      </c>
      <c r="D59" s="26" t="str">
        <f t="shared" si="2"/>
        <v/>
      </c>
      <c r="E59" s="28" t="str">
        <f>IF(A59&lt;=$B$9,ROUND((IF($B$6="TB",INDEX(DadosPCS!$B$2:$B$16,C59),INDEX(DadosPCS!$C$2:$C$13,C59))+MIN(IF($B$6="TB",INDEX(DadosPCS!$B$2:$B$16,C59),INDEX(DadosPCS!$C$2:$C$13,C59))*D59*5%,$B$23))*4/3,2),"")</f>
        <v/>
      </c>
      <c r="F59" s="28" t="str">
        <f t="shared" si="4"/>
        <v/>
      </c>
      <c r="G59" s="26" t="str">
        <f t="shared" si="3"/>
        <v/>
      </c>
      <c r="H59" s="28" t="str">
        <f>IF(A59&lt;=$B$9,IF($B$8="B",INDEX(DadosNovoPCS!$B$2:$B$31,G59),IF($B$8="ST",INDEX(DadosNovoPCS!$E$2:$E$31,G59),IF($B$8="TP",INDEX(DadosNovoPCS!$F$2:$F$31,G59),IF($B$8="AD",INDEX(DadosNovoPCS!$C$2:$C$31,G59),IF($B$8="TI",INDEX(DadosNovoPCS!$D$2:$D$31,G59),""))))),"")</f>
        <v/>
      </c>
      <c r="I59" s="28" t="str">
        <f t="shared" si="5"/>
        <v/>
      </c>
      <c r="J59" s="28" t="str">
        <f>IF(A59&lt;=$B$9,ROUND(SUM($I$29:I59)-SUM($F$29:F59),2),"")</f>
        <v/>
      </c>
    </row>
    <row r="60" spans="1:10">
      <c r="A60" s="26">
        <v>32</v>
      </c>
      <c r="B60" s="27" t="str">
        <f t="shared" si="0"/>
        <v/>
      </c>
      <c r="C60" s="26" t="str">
        <f t="shared" si="1"/>
        <v/>
      </c>
      <c r="D60" s="26" t="str">
        <f t="shared" si="2"/>
        <v/>
      </c>
      <c r="E60" s="28" t="str">
        <f>IF(A60&lt;=$B$9,ROUND((IF($B$6="TB",INDEX(DadosPCS!$B$2:$B$16,C60),INDEX(DadosPCS!$C$2:$C$13,C60))+MIN(IF($B$6="TB",INDEX(DadosPCS!$B$2:$B$16,C60),INDEX(DadosPCS!$C$2:$C$13,C60))*D60*5%,$B$23))*4/3,2),"")</f>
        <v/>
      </c>
      <c r="F60" s="28" t="str">
        <f t="shared" si="4"/>
        <v/>
      </c>
      <c r="G60" s="26" t="str">
        <f t="shared" si="3"/>
        <v/>
      </c>
      <c r="H60" s="28" t="str">
        <f>IF(A60&lt;=$B$9,IF($B$8="B",INDEX(DadosNovoPCS!$B$2:$B$31,G60),IF($B$8="ST",INDEX(DadosNovoPCS!$E$2:$E$31,G60),IF($B$8="TP",INDEX(DadosNovoPCS!$F$2:$F$31,G60),IF($B$8="AD",INDEX(DadosNovoPCS!$C$2:$C$31,G60),IF($B$8="TI",INDEX(DadosNovoPCS!$D$2:$D$31,G60),""))))),"")</f>
        <v/>
      </c>
      <c r="I60" s="28" t="str">
        <f t="shared" si="5"/>
        <v/>
      </c>
      <c r="J60" s="28" t="str">
        <f>IF(A60&lt;=$B$9,ROUND(SUM($I$29:I60)-SUM($F$29:F60),2),"")</f>
        <v/>
      </c>
    </row>
    <row r="61" spans="1:10">
      <c r="A61" s="26">
        <v>33</v>
      </c>
      <c r="B61" s="27" t="str">
        <f t="shared" si="0"/>
        <v/>
      </c>
      <c r="C61" s="26" t="str">
        <f t="shared" si="1"/>
        <v/>
      </c>
      <c r="D61" s="26" t="str">
        <f t="shared" si="2"/>
        <v/>
      </c>
      <c r="E61" s="28" t="str">
        <f>IF(A61&lt;=$B$9,ROUND((IF($B$6="TB",INDEX(DadosPCS!$B$2:$B$16,C61),INDEX(DadosPCS!$C$2:$C$13,C61))+MIN(IF($B$6="TB",INDEX(DadosPCS!$B$2:$B$16,C61),INDEX(DadosPCS!$C$2:$C$13,C61))*D61*5%,$B$23))*4/3,2),"")</f>
        <v/>
      </c>
      <c r="F61" s="28" t="str">
        <f t="shared" si="4"/>
        <v/>
      </c>
      <c r="G61" s="26" t="str">
        <f t="shared" si="3"/>
        <v/>
      </c>
      <c r="H61" s="28" t="str">
        <f>IF(A61&lt;=$B$9,IF($B$8="B",INDEX(DadosNovoPCS!$B$2:$B$31,G61),IF($B$8="ST",INDEX(DadosNovoPCS!$E$2:$E$31,G61),IF($B$8="TP",INDEX(DadosNovoPCS!$F$2:$F$31,G61),IF($B$8="AD",INDEX(DadosNovoPCS!$C$2:$C$31,G61),IF($B$8="TI",INDEX(DadosNovoPCS!$D$2:$D$31,G61),""))))),"")</f>
        <v/>
      </c>
      <c r="I61" s="28" t="str">
        <f t="shared" si="5"/>
        <v/>
      </c>
      <c r="J61" s="28" t="str">
        <f>IF(A61&lt;=$B$9,ROUND(SUM($I$29:I61)-SUM($F$29:F61),2),"")</f>
        <v/>
      </c>
    </row>
    <row r="62" spans="1:10">
      <c r="A62" s="26">
        <v>34</v>
      </c>
      <c r="B62" s="27" t="str">
        <f t="shared" si="0"/>
        <v/>
      </c>
      <c r="C62" s="26" t="str">
        <f t="shared" si="1"/>
        <v/>
      </c>
      <c r="D62" s="26" t="str">
        <f t="shared" si="2"/>
        <v/>
      </c>
      <c r="E62" s="28" t="str">
        <f>IF(A62&lt;=$B$9,ROUND((IF($B$6="TB",INDEX(DadosPCS!$B$2:$B$16,C62),INDEX(DadosPCS!$C$2:$C$13,C62))+MIN(IF($B$6="TB",INDEX(DadosPCS!$B$2:$B$16,C62),INDEX(DadosPCS!$C$2:$C$13,C62))*D62*5%,$B$23))*4/3,2),"")</f>
        <v/>
      </c>
      <c r="F62" s="28" t="str">
        <f t="shared" si="4"/>
        <v/>
      </c>
      <c r="G62" s="26" t="str">
        <f t="shared" si="3"/>
        <v/>
      </c>
      <c r="H62" s="28" t="str">
        <f>IF(A62&lt;=$B$9,IF($B$8="B",INDEX(DadosNovoPCS!$B$2:$B$31,G62),IF($B$8="ST",INDEX(DadosNovoPCS!$E$2:$E$31,G62),IF($B$8="TP",INDEX(DadosNovoPCS!$F$2:$F$31,G62),IF($B$8="AD",INDEX(DadosNovoPCS!$C$2:$C$31,G62),IF($B$8="TI",INDEX(DadosNovoPCS!$D$2:$D$31,G62),""))))),"")</f>
        <v/>
      </c>
      <c r="I62" s="28" t="str">
        <f t="shared" si="5"/>
        <v/>
      </c>
      <c r="J62" s="28" t="str">
        <f>IF(A62&lt;=$B$9,ROUND(SUM($I$29:I62)-SUM($F$29:F62),2),"")</f>
        <v/>
      </c>
    </row>
    <row r="63" spans="1:10">
      <c r="A63" s="26">
        <v>35</v>
      </c>
      <c r="B63" s="27" t="str">
        <f t="shared" si="0"/>
        <v/>
      </c>
      <c r="C63" s="26" t="str">
        <f t="shared" si="1"/>
        <v/>
      </c>
      <c r="D63" s="26" t="str">
        <f t="shared" si="2"/>
        <v/>
      </c>
      <c r="E63" s="28" t="str">
        <f>IF(A63&lt;=$B$9,ROUND((IF($B$6="TB",INDEX(DadosPCS!$B$2:$B$16,C63),INDEX(DadosPCS!$C$2:$C$13,C63))+MIN(IF($B$6="TB",INDEX(DadosPCS!$B$2:$B$16,C63),INDEX(DadosPCS!$C$2:$C$13,C63))*D63*5%,$B$23))*4/3,2),"")</f>
        <v/>
      </c>
      <c r="F63" s="28" t="str">
        <f t="shared" si="4"/>
        <v/>
      </c>
      <c r="G63" s="26" t="str">
        <f t="shared" si="3"/>
        <v/>
      </c>
      <c r="H63" s="28" t="str">
        <f>IF(A63&lt;=$B$9,IF($B$8="B",INDEX(DadosNovoPCS!$B$2:$B$31,G63),IF($B$8="ST",INDEX(DadosNovoPCS!$E$2:$E$31,G63),IF($B$8="TP",INDEX(DadosNovoPCS!$F$2:$F$31,G63),IF($B$8="AD",INDEX(DadosNovoPCS!$C$2:$C$31,G63),IF($B$8="TI",INDEX(DadosNovoPCS!$D$2:$D$31,G63),""))))),"")</f>
        <v/>
      </c>
      <c r="I63" s="28" t="str">
        <f t="shared" si="5"/>
        <v/>
      </c>
      <c r="J63" s="28" t="str">
        <f>IF(A63&lt;=$B$9,ROUND(SUM($I$29:I63)-SUM($F$29:F63),2),"")</f>
        <v/>
      </c>
    </row>
    <row r="64" spans="1:10">
      <c r="A64" s="26">
        <v>36</v>
      </c>
      <c r="B64" s="27" t="str">
        <f t="shared" si="0"/>
        <v/>
      </c>
      <c r="C64" s="26" t="str">
        <f t="shared" si="1"/>
        <v/>
      </c>
      <c r="D64" s="26" t="str">
        <f t="shared" si="2"/>
        <v/>
      </c>
      <c r="E64" s="28" t="str">
        <f>IF(A64&lt;=$B$9,ROUND((IF($B$6="TB",INDEX(DadosPCS!$B$2:$B$16,C64),INDEX(DadosPCS!$C$2:$C$13,C64))+MIN(IF($B$6="TB",INDEX(DadosPCS!$B$2:$B$16,C64),INDEX(DadosPCS!$C$2:$C$13,C64))*D64*5%,$B$23))*4/3,2),"")</f>
        <v/>
      </c>
      <c r="F64" s="28" t="str">
        <f t="shared" si="4"/>
        <v/>
      </c>
      <c r="G64" s="26" t="str">
        <f t="shared" si="3"/>
        <v/>
      </c>
      <c r="H64" s="28" t="str">
        <f>IF(A64&lt;=$B$9,IF($B$8="B",INDEX(DadosNovoPCS!$B$2:$B$31,G64),IF($B$8="ST",INDEX(DadosNovoPCS!$E$2:$E$31,G64),IF($B$8="TP",INDEX(DadosNovoPCS!$F$2:$F$31,G64),IF($B$8="AD",INDEX(DadosNovoPCS!$C$2:$C$31,G64),IF($B$8="TI",INDEX(DadosNovoPCS!$D$2:$D$31,G64),""))))),"")</f>
        <v/>
      </c>
      <c r="I64" s="28" t="str">
        <f t="shared" si="5"/>
        <v/>
      </c>
      <c r="J64" s="28" t="str">
        <f>IF(A64&lt;=$B$9,ROUND(SUM($I$29:I64)-SUM($F$29:F64),2),"")</f>
        <v/>
      </c>
    </row>
    <row r="65" spans="1:10">
      <c r="A65" s="26">
        <v>37</v>
      </c>
      <c r="B65" s="27" t="str">
        <f t="shared" si="0"/>
        <v/>
      </c>
      <c r="C65" s="26" t="str">
        <f t="shared" si="1"/>
        <v/>
      </c>
      <c r="D65" s="26" t="str">
        <f t="shared" si="2"/>
        <v/>
      </c>
      <c r="E65" s="28" t="str">
        <f>IF(A65&lt;=$B$9,ROUND((IF($B$6="TB",INDEX(DadosPCS!$B$2:$B$16,C65),INDEX(DadosPCS!$C$2:$C$13,C65))+MIN(IF($B$6="TB",INDEX(DadosPCS!$B$2:$B$16,C65),INDEX(DadosPCS!$C$2:$C$13,C65))*D65*5%,$B$23))*4/3,2),"")</f>
        <v/>
      </c>
      <c r="F65" s="28" t="str">
        <f t="shared" si="4"/>
        <v/>
      </c>
      <c r="G65" s="26" t="str">
        <f t="shared" si="3"/>
        <v/>
      </c>
      <c r="H65" s="28" t="str">
        <f>IF(A65&lt;=$B$9,IF($B$8="B",INDEX(DadosNovoPCS!$B$2:$B$31,G65),IF($B$8="ST",INDEX(DadosNovoPCS!$E$2:$E$31,G65),IF($B$8="TP",INDEX(DadosNovoPCS!$F$2:$F$31,G65),IF($B$8="AD",INDEX(DadosNovoPCS!$C$2:$C$31,G65),IF($B$8="TI",INDEX(DadosNovoPCS!$D$2:$D$31,G65),""))))),"")</f>
        <v/>
      </c>
      <c r="I65" s="28" t="str">
        <f t="shared" si="5"/>
        <v/>
      </c>
      <c r="J65" s="28" t="str">
        <f>IF(A65&lt;=$B$9,ROUND(SUM($I$29:I65)-SUM($F$29:F65),2),"")</f>
        <v/>
      </c>
    </row>
    <row r="66" spans="1:10">
      <c r="A66" s="26">
        <v>38</v>
      </c>
      <c r="B66" s="27" t="str">
        <f t="shared" si="0"/>
        <v/>
      </c>
      <c r="C66" s="26" t="str">
        <f t="shared" si="1"/>
        <v/>
      </c>
      <c r="D66" s="26" t="str">
        <f t="shared" si="2"/>
        <v/>
      </c>
      <c r="E66" s="28" t="str">
        <f>IF(A66&lt;=$B$9,ROUND((IF($B$6="TB",INDEX(DadosPCS!$B$2:$B$16,C66),INDEX(DadosPCS!$C$2:$C$13,C66))+MIN(IF($B$6="TB",INDEX(DadosPCS!$B$2:$B$16,C66),INDEX(DadosPCS!$C$2:$C$13,C66))*D66*5%,$B$23))*4/3,2),"")</f>
        <v/>
      </c>
      <c r="F66" s="28" t="str">
        <f t="shared" si="4"/>
        <v/>
      </c>
      <c r="G66" s="26" t="str">
        <f t="shared" si="3"/>
        <v/>
      </c>
      <c r="H66" s="28" t="str">
        <f>IF(A66&lt;=$B$9,IF($B$8="B",INDEX(DadosNovoPCS!$B$2:$B$31,G66),IF($B$8="ST",INDEX(DadosNovoPCS!$E$2:$E$31,G66),IF($B$8="TP",INDEX(DadosNovoPCS!$F$2:$F$31,G66),IF($B$8="AD",INDEX(DadosNovoPCS!$C$2:$C$31,G66),IF($B$8="TI",INDEX(DadosNovoPCS!$D$2:$D$31,G66),""))))),"")</f>
        <v/>
      </c>
      <c r="I66" s="28" t="str">
        <f t="shared" si="5"/>
        <v/>
      </c>
      <c r="J66" s="28" t="str">
        <f>IF(A66&lt;=$B$9,ROUND(SUM($I$29:I66)-SUM($F$29:F66),2),"")</f>
        <v/>
      </c>
    </row>
    <row r="67" spans="1:10">
      <c r="A67" s="26">
        <v>39</v>
      </c>
      <c r="B67" s="27" t="str">
        <f t="shared" si="0"/>
        <v/>
      </c>
      <c r="C67" s="26" t="str">
        <f t="shared" si="1"/>
        <v/>
      </c>
      <c r="D67" s="26" t="str">
        <f t="shared" si="2"/>
        <v/>
      </c>
      <c r="E67" s="28" t="str">
        <f>IF(A67&lt;=$B$9,ROUND((IF($B$6="TB",INDEX(DadosPCS!$B$2:$B$16,C67),INDEX(DadosPCS!$C$2:$C$13,C67))+MIN(IF($B$6="TB",INDEX(DadosPCS!$B$2:$B$16,C67),INDEX(DadosPCS!$C$2:$C$13,C67))*D67*5%,$B$23))*4/3,2),"")</f>
        <v/>
      </c>
      <c r="F67" s="28" t="str">
        <f t="shared" si="4"/>
        <v/>
      </c>
      <c r="G67" s="26" t="str">
        <f t="shared" si="3"/>
        <v/>
      </c>
      <c r="H67" s="28" t="str">
        <f>IF(A67&lt;=$B$9,IF($B$8="B",INDEX(DadosNovoPCS!$B$2:$B$31,G67),IF($B$8="ST",INDEX(DadosNovoPCS!$E$2:$E$31,G67),IF($B$8="TP",INDEX(DadosNovoPCS!$F$2:$F$31,G67),IF($B$8="AD",INDEX(DadosNovoPCS!$C$2:$C$31,G67),IF($B$8="TI",INDEX(DadosNovoPCS!$D$2:$D$31,G67),""))))),"")</f>
        <v/>
      </c>
      <c r="I67" s="28" t="str">
        <f t="shared" si="5"/>
        <v/>
      </c>
      <c r="J67" s="28" t="str">
        <f>IF(A67&lt;=$B$9,ROUND(SUM($I$29:I67)-SUM($F$29:F67),2),"")</f>
        <v/>
      </c>
    </row>
    <row r="68" spans="1:10">
      <c r="A68" s="26">
        <v>40</v>
      </c>
      <c r="B68" s="27" t="str">
        <f t="shared" si="0"/>
        <v/>
      </c>
      <c r="C68" s="26" t="str">
        <f t="shared" si="1"/>
        <v/>
      </c>
      <c r="D68" s="26" t="str">
        <f t="shared" si="2"/>
        <v/>
      </c>
      <c r="E68" s="28" t="str">
        <f>IF(A68&lt;=$B$9,ROUND((IF($B$6="TB",INDEX(DadosPCS!$B$2:$B$16,C68),INDEX(DadosPCS!$C$2:$C$13,C68))+MIN(IF($B$6="TB",INDEX(DadosPCS!$B$2:$B$16,C68),INDEX(DadosPCS!$C$2:$C$13,C68))*D68*5%,$B$23))*4/3,2),"")</f>
        <v/>
      </c>
      <c r="F68" s="28" t="str">
        <f t="shared" si="4"/>
        <v/>
      </c>
      <c r="G68" s="26" t="str">
        <f t="shared" si="3"/>
        <v/>
      </c>
      <c r="H68" s="28" t="str">
        <f>IF(A68&lt;=$B$9,IF($B$8="B",INDEX(DadosNovoPCS!$B$2:$B$31,G68),IF($B$8="ST",INDEX(DadosNovoPCS!$E$2:$E$31,G68),IF($B$8="TP",INDEX(DadosNovoPCS!$F$2:$F$31,G68),IF($B$8="AD",INDEX(DadosNovoPCS!$C$2:$C$31,G68),IF($B$8="TI",INDEX(DadosNovoPCS!$D$2:$D$31,G68),""))))),"")</f>
        <v/>
      </c>
      <c r="I68" s="28" t="str">
        <f t="shared" si="5"/>
        <v/>
      </c>
      <c r="J68" s="28" t="str">
        <f>IF(A68&lt;=$B$9,ROUND(SUM($I$29:I68)-SUM($F$29:F68),2),"")</f>
        <v/>
      </c>
    </row>
  </sheetData>
  <mergeCells count="10">
    <mergeCell ref="A1:J1"/>
    <mergeCell ref="A2:J2"/>
    <mergeCell ref="D4:J4"/>
    <mergeCell ref="E5:J5"/>
    <mergeCell ref="E6:J7"/>
    <mergeCell ref="A24:J24"/>
    <mergeCell ref="A25:B25"/>
    <mergeCell ref="C25:D25"/>
    <mergeCell ref="E25:J25"/>
    <mergeCell ref="A26:B26"/>
  </mergeCells>
  <conditionalFormatting sqref="E8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E5:J5">
    <cfRule type="expression" dxfId="5" priority="7">
      <formula>$E$8&lt;0</formula>
    </cfRule>
    <cfRule type="expression" dxfId="4" priority="8">
      <formula>$E$8&gt;0</formula>
    </cfRule>
  </conditionalFormatting>
  <conditionalFormatting sqref="H7">
    <cfRule type="cellIs" dxfId="3" priority="1" operator="lessThan">
      <formula>0</formula>
    </cfRule>
    <cfRule type="cellIs" dxfId="2" priority="2" operator="greaterThan">
      <formula>0</formula>
    </cfRule>
  </conditionalFormatting>
  <conditionalFormatting sqref="J29:J68">
    <cfRule type="cellIs" dxfId="1" priority="3" operator="lessThan">
      <formula>0</formula>
    </cfRule>
    <cfRule type="cellIs" dxfId="0" priority="4" operator="greaterThan">
      <formula>0</formula>
    </cfRule>
  </conditionalFormatting>
  <dataValidations count="6">
    <dataValidation type="list" sqref="B6" xr:uid="{00000000-0002-0000-0000-000000000000}">
      <formula1>"TB,TC"</formula1>
    </dataValidation>
    <dataValidation type="list" sqref="B8" xr:uid="{00000000-0002-0000-0000-000001000000}">
      <formula1>"B,ST,TP,AD,TI"</formula1>
    </dataValidation>
    <dataValidation type="list" sqref="B11" xr:uid="{00000000-0002-0000-0000-000002000000}">
      <formula1>"Sim,Não"</formula1>
    </dataValidation>
    <dataValidation type="whole" sqref="B7" xr:uid="{00000000-0002-0000-0000-000003000000}">
      <formula1>1</formula1>
      <formula2>15</formula2>
    </dataValidation>
    <dataValidation type="whole" sqref="B9" xr:uid="{00000000-0002-0000-0000-000004000000}">
      <formula1>1</formula1>
      <formula2>40</formula2>
    </dataValidation>
    <dataValidation showInputMessage="1" showErrorMessage="1" errorTitle="Valor inválido" error="Informe um número inteiro entre 0 e 40." promptTitle="Promoções PCS atual" prompt="Informe a quantidade esperada de promoções no PCS atual. O Novo PCS usará o dobro." sqref="B12" xr:uid="{00000000-0002-0000-0000-000005000000}">
      <formula1>0</formula1>
      <formula2>40</formula2>
    </dataValidation>
  </dataValidations>
  <pageMargins left="0.7" right="0.7" top="0.75" bottom="0.75" header="0.3" footer="0.3"/>
  <headerFooter>
    <oddHeader>&amp;R&amp;"Aptos"&amp;12&amp;K000000 #PÚBLICA&amp;1#_x000D_</oddHead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1"/>
  <sheetViews>
    <sheetView showGridLines="0" workbookViewId="0">
      <selection activeCell="A2" sqref="A2"/>
    </sheetView>
  </sheetViews>
  <sheetFormatPr defaultRowHeight="14"/>
  <cols>
    <col min="1" max="1" width="8.33203125" bestFit="1" customWidth="1"/>
    <col min="2" max="2" width="106.33203125" bestFit="1" customWidth="1"/>
  </cols>
  <sheetData>
    <row r="1" spans="1:26">
      <c r="A1" s="1" t="s">
        <v>56</v>
      </c>
      <c r="B1" s="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t="s">
        <v>6</v>
      </c>
      <c r="B2" t="s">
        <v>58</v>
      </c>
    </row>
    <row r="3" spans="1:26">
      <c r="A3" t="s">
        <v>51</v>
      </c>
      <c r="B3" t="s">
        <v>59</v>
      </c>
    </row>
    <row r="4" spans="1:26">
      <c r="A4" t="s">
        <v>10</v>
      </c>
      <c r="B4" t="s">
        <v>60</v>
      </c>
    </row>
    <row r="5" spans="1:26">
      <c r="A5" t="s">
        <v>54</v>
      </c>
      <c r="B5" t="s">
        <v>61</v>
      </c>
    </row>
    <row r="6" spans="1:26">
      <c r="A6" t="s">
        <v>55</v>
      </c>
      <c r="B6" t="s">
        <v>62</v>
      </c>
    </row>
    <row r="7" spans="1:26">
      <c r="A7" t="s">
        <v>52</v>
      </c>
      <c r="B7" t="s">
        <v>63</v>
      </c>
    </row>
    <row r="8" spans="1:26">
      <c r="A8" t="s">
        <v>53</v>
      </c>
      <c r="B8" t="s">
        <v>64</v>
      </c>
    </row>
    <row r="10" spans="1:26">
      <c r="A10" t="s">
        <v>65</v>
      </c>
      <c r="B10" t="s">
        <v>66</v>
      </c>
    </row>
    <row r="11" spans="1:26">
      <c r="A11" t="s">
        <v>65</v>
      </c>
      <c r="B11" t="s">
        <v>67</v>
      </c>
    </row>
    <row r="12" spans="1:26">
      <c r="A12" t="s">
        <v>65</v>
      </c>
      <c r="B12" t="s">
        <v>68</v>
      </c>
    </row>
    <row r="13" spans="1:26">
      <c r="A13" t="s">
        <v>65</v>
      </c>
      <c r="B13" t="s">
        <v>69</v>
      </c>
    </row>
    <row r="15" spans="1:26">
      <c r="A15" s="29" t="s">
        <v>72</v>
      </c>
    </row>
    <row r="16" spans="1:26">
      <c r="A16" s="29" t="s">
        <v>73</v>
      </c>
    </row>
    <row r="17" spans="1:1">
      <c r="A17" s="29" t="s">
        <v>74</v>
      </c>
    </row>
    <row r="18" spans="1:1">
      <c r="A18" s="29" t="s">
        <v>75</v>
      </c>
    </row>
    <row r="19" spans="1:1">
      <c r="A19" s="29" t="s">
        <v>76</v>
      </c>
    </row>
    <row r="20" spans="1:1">
      <c r="A20" s="29" t="s">
        <v>77</v>
      </c>
    </row>
    <row r="21" spans="1:1">
      <c r="A21" s="29" t="s">
        <v>78</v>
      </c>
    </row>
  </sheetData>
  <pageMargins left="0.7" right="0.7" top="0.75" bottom="0.75" header="0.3" footer="0.3"/>
  <headerFooter>
    <oddHeader>&amp;R&amp;"Aptos"&amp;12&amp;K000000 #PÚBLICA&amp;1#_x000D_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6"/>
  <sheetViews>
    <sheetView workbookViewId="0"/>
  </sheetViews>
  <sheetFormatPr defaultRowHeight="14"/>
  <cols>
    <col min="1" max="1" width="18" customWidth="1"/>
    <col min="2" max="2" width="19" customWidth="1"/>
    <col min="3" max="3" width="12" customWidth="1"/>
  </cols>
  <sheetData>
    <row r="1" spans="1:26" ht="10" customHeight="1">
      <c r="A1" s="1" t="s">
        <v>50</v>
      </c>
      <c r="B1" s="1" t="s">
        <v>6</v>
      </c>
      <c r="C1" s="1" t="s">
        <v>51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" customHeight="1">
      <c r="A2">
        <v>1</v>
      </c>
      <c r="B2" s="2">
        <v>2281.61</v>
      </c>
      <c r="C2" s="2">
        <v>3270.08</v>
      </c>
    </row>
    <row r="3" spans="1:26" ht="10" customHeight="1">
      <c r="A3">
        <v>2</v>
      </c>
      <c r="B3" s="2">
        <v>2856.22</v>
      </c>
      <c r="C3" s="2">
        <v>3498.99</v>
      </c>
    </row>
    <row r="4" spans="1:26" ht="10" customHeight="1">
      <c r="A4">
        <v>3</v>
      </c>
      <c r="B4" s="2">
        <v>3056.15</v>
      </c>
      <c r="C4" s="2">
        <v>3743.92</v>
      </c>
    </row>
    <row r="5" spans="1:26" ht="10" customHeight="1">
      <c r="A5">
        <v>4</v>
      </c>
      <c r="B5" s="2">
        <v>3270.08</v>
      </c>
      <c r="C5" s="2">
        <v>4005.99</v>
      </c>
    </row>
    <row r="6" spans="1:26" ht="10" customHeight="1">
      <c r="A6">
        <v>5</v>
      </c>
      <c r="B6" s="2">
        <v>3498.99</v>
      </c>
      <c r="C6" s="2">
        <v>4286.41</v>
      </c>
    </row>
    <row r="7" spans="1:26" ht="10" customHeight="1">
      <c r="A7">
        <v>6</v>
      </c>
      <c r="B7" s="2">
        <v>3743.92</v>
      </c>
      <c r="C7" s="2">
        <v>4586.46</v>
      </c>
    </row>
    <row r="8" spans="1:26" ht="10" customHeight="1">
      <c r="A8">
        <v>7</v>
      </c>
      <c r="B8" s="2">
        <v>4005.99</v>
      </c>
      <c r="C8" s="2">
        <v>4907.51</v>
      </c>
    </row>
    <row r="9" spans="1:26" ht="10" customHeight="1">
      <c r="A9">
        <v>8</v>
      </c>
      <c r="B9" s="2">
        <v>4286.41</v>
      </c>
      <c r="C9" s="2">
        <v>5251.04</v>
      </c>
    </row>
    <row r="10" spans="1:26" ht="10" customHeight="1">
      <c r="A10">
        <v>9</v>
      </c>
      <c r="B10" s="2">
        <v>4586.46</v>
      </c>
      <c r="C10" s="2">
        <v>5618.61</v>
      </c>
    </row>
    <row r="11" spans="1:26" ht="10" customHeight="1">
      <c r="A11">
        <v>10</v>
      </c>
      <c r="B11" s="2">
        <v>4907.51</v>
      </c>
      <c r="C11" s="2">
        <v>6011.91</v>
      </c>
    </row>
    <row r="12" spans="1:26" ht="10" customHeight="1">
      <c r="A12">
        <v>11</v>
      </c>
      <c r="B12" s="2">
        <v>5251.04</v>
      </c>
      <c r="C12" s="2">
        <v>6432.75</v>
      </c>
    </row>
    <row r="13" spans="1:26" ht="10" customHeight="1">
      <c r="A13">
        <v>12</v>
      </c>
      <c r="B13" s="2">
        <v>5618.61</v>
      </c>
      <c r="C13" s="2">
        <v>6883.04</v>
      </c>
    </row>
    <row r="14" spans="1:26" ht="10" customHeight="1">
      <c r="A14">
        <v>13</v>
      </c>
      <c r="B14" s="2">
        <v>6011.91</v>
      </c>
      <c r="C14" s="2"/>
    </row>
    <row r="15" spans="1:26" ht="10" customHeight="1">
      <c r="A15">
        <v>14</v>
      </c>
      <c r="B15" s="2">
        <v>6432.75</v>
      </c>
      <c r="C15" s="2"/>
    </row>
    <row r="16" spans="1:26" ht="10" customHeight="1">
      <c r="A16">
        <v>15</v>
      </c>
      <c r="B16" s="2">
        <v>6883.04</v>
      </c>
      <c r="C16" s="2"/>
    </row>
  </sheetData>
  <pageMargins left="0.7" right="0.7" top="0.75" bottom="0.75" header="0.3" footer="0.3"/>
  <headerFooter>
    <oddHeader>&amp;R&amp;"Aptos"&amp;12&amp;K000000 #PÚBLICA&amp;1#_x000D_</oddHead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1"/>
  <sheetViews>
    <sheetView workbookViewId="0"/>
  </sheetViews>
  <sheetFormatPr defaultRowHeight="14"/>
  <cols>
    <col min="1" max="1" width="12" customWidth="1"/>
    <col min="2" max="6" width="16" customWidth="1"/>
  </cols>
  <sheetData>
    <row r="1" spans="1:26" ht="10" customHeight="1">
      <c r="A1" s="1" t="s">
        <v>50</v>
      </c>
      <c r="B1" s="1" t="s">
        <v>10</v>
      </c>
      <c r="C1" s="1" t="s">
        <v>52</v>
      </c>
      <c r="D1" s="1" t="s">
        <v>53</v>
      </c>
      <c r="E1" s="1" t="s">
        <v>54</v>
      </c>
      <c r="F1" s="1" t="s">
        <v>55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" customHeight="1">
      <c r="A2">
        <v>1</v>
      </c>
      <c r="B2" s="2">
        <v>4202.17</v>
      </c>
      <c r="C2" s="2">
        <v>12333.38</v>
      </c>
      <c r="D2" s="2">
        <v>11832.44</v>
      </c>
      <c r="E2" s="2">
        <v>6099.79</v>
      </c>
      <c r="F2" s="2">
        <v>8222.99</v>
      </c>
    </row>
    <row r="3" spans="1:26" ht="10" customHeight="1">
      <c r="A3">
        <v>2</v>
      </c>
      <c r="B3" s="2">
        <v>4265.2</v>
      </c>
      <c r="C3" s="2">
        <v>12456.71</v>
      </c>
      <c r="D3" s="2">
        <v>11950.76</v>
      </c>
      <c r="E3" s="2">
        <v>6160.79</v>
      </c>
      <c r="F3" s="2">
        <v>8305.2199999999993</v>
      </c>
    </row>
    <row r="4" spans="1:26" ht="10" customHeight="1">
      <c r="A4">
        <v>3</v>
      </c>
      <c r="B4" s="2">
        <v>4414.4799999999996</v>
      </c>
      <c r="C4" s="2">
        <v>12830.42</v>
      </c>
      <c r="D4" s="2">
        <v>12309.29</v>
      </c>
      <c r="E4" s="2">
        <v>6284</v>
      </c>
      <c r="F4" s="2">
        <v>8554.3799999999992</v>
      </c>
    </row>
    <row r="5" spans="1:26" ht="10" customHeight="1">
      <c r="A5">
        <v>4</v>
      </c>
      <c r="B5" s="2">
        <v>4568.99</v>
      </c>
      <c r="C5" s="2">
        <v>13215.33</v>
      </c>
      <c r="D5" s="2">
        <v>12678.57</v>
      </c>
      <c r="E5" s="2">
        <v>6409.68</v>
      </c>
      <c r="F5" s="2">
        <v>8811.01</v>
      </c>
    </row>
    <row r="6" spans="1:26" ht="10" customHeight="1">
      <c r="A6">
        <v>5</v>
      </c>
      <c r="B6" s="2">
        <v>4728.91</v>
      </c>
      <c r="C6" s="2">
        <v>13611.79</v>
      </c>
      <c r="D6" s="2">
        <v>13058.92</v>
      </c>
      <c r="E6" s="2">
        <v>6537.88</v>
      </c>
      <c r="F6" s="2">
        <v>9075.34</v>
      </c>
    </row>
    <row r="7" spans="1:26" ht="10" customHeight="1">
      <c r="A7">
        <v>6</v>
      </c>
      <c r="B7" s="2">
        <v>4894.42</v>
      </c>
      <c r="C7" s="2">
        <v>14020.14</v>
      </c>
      <c r="D7" s="2">
        <v>13450.69</v>
      </c>
      <c r="E7" s="2">
        <v>6668.63</v>
      </c>
      <c r="F7" s="2">
        <v>9347.6</v>
      </c>
    </row>
    <row r="8" spans="1:26" ht="10" customHeight="1">
      <c r="A8">
        <v>7</v>
      </c>
      <c r="B8" s="2">
        <v>5065.72</v>
      </c>
      <c r="C8" s="2">
        <v>14440.75</v>
      </c>
      <c r="D8" s="2">
        <v>13854.21</v>
      </c>
      <c r="E8" s="2">
        <v>6802.01</v>
      </c>
      <c r="F8" s="2">
        <v>9628.0300000000007</v>
      </c>
    </row>
    <row r="9" spans="1:26" ht="10" customHeight="1">
      <c r="A9">
        <v>8</v>
      </c>
      <c r="B9" s="2">
        <v>5243.02</v>
      </c>
      <c r="C9" s="2">
        <v>14873.97</v>
      </c>
      <c r="D9" s="2">
        <v>14269.84</v>
      </c>
      <c r="E9" s="2">
        <v>6938.05</v>
      </c>
      <c r="F9" s="2">
        <v>9916.8700000000008</v>
      </c>
    </row>
    <row r="10" spans="1:26" ht="10" customHeight="1">
      <c r="A10">
        <v>9</v>
      </c>
      <c r="B10" s="2">
        <v>5426.53</v>
      </c>
      <c r="C10" s="2">
        <v>15320.19</v>
      </c>
      <c r="D10" s="2">
        <v>14697.93</v>
      </c>
      <c r="E10" s="2">
        <v>7076.81</v>
      </c>
      <c r="F10" s="2">
        <v>10214.370000000001</v>
      </c>
    </row>
    <row r="11" spans="1:26" ht="10" customHeight="1">
      <c r="A11">
        <v>10</v>
      </c>
      <c r="B11" s="2">
        <v>5616.46</v>
      </c>
      <c r="C11" s="2">
        <v>15779.79</v>
      </c>
      <c r="D11" s="2">
        <v>15138.87</v>
      </c>
      <c r="E11" s="2">
        <v>7218.34</v>
      </c>
      <c r="F11" s="2">
        <v>10520.8</v>
      </c>
    </row>
    <row r="12" spans="1:26" ht="10" customHeight="1">
      <c r="A12">
        <v>11</v>
      </c>
      <c r="B12" s="2">
        <v>5813.03</v>
      </c>
      <c r="C12" s="2">
        <v>16253.19</v>
      </c>
      <c r="D12" s="2">
        <v>15593.04</v>
      </c>
      <c r="E12" s="2">
        <v>7362.71</v>
      </c>
      <c r="F12" s="2">
        <v>10836.43</v>
      </c>
    </row>
    <row r="13" spans="1:26" ht="10" customHeight="1">
      <c r="A13">
        <v>12</v>
      </c>
      <c r="B13" s="2">
        <v>6016.49</v>
      </c>
      <c r="C13" s="2">
        <v>16740.78</v>
      </c>
      <c r="D13" s="2">
        <v>16060.83</v>
      </c>
      <c r="E13" s="2">
        <v>7509.97</v>
      </c>
      <c r="F13" s="2">
        <v>11161.52</v>
      </c>
    </row>
    <row r="14" spans="1:26" ht="10" customHeight="1">
      <c r="A14">
        <v>13</v>
      </c>
      <c r="B14" s="2">
        <v>6227.07</v>
      </c>
      <c r="C14" s="2">
        <v>17243.009999999998</v>
      </c>
      <c r="D14" s="2">
        <v>16542.650000000001</v>
      </c>
      <c r="E14" s="2">
        <v>7660.17</v>
      </c>
      <c r="F14" s="2">
        <v>11496.37</v>
      </c>
    </row>
    <row r="15" spans="1:26" ht="10" customHeight="1">
      <c r="A15">
        <v>14</v>
      </c>
      <c r="B15" s="2">
        <v>6445.01</v>
      </c>
      <c r="C15" s="2">
        <v>17760.3</v>
      </c>
      <c r="D15" s="2">
        <v>17038.93</v>
      </c>
      <c r="E15" s="2">
        <v>7813.37</v>
      </c>
      <c r="F15" s="2">
        <v>11841.26</v>
      </c>
    </row>
    <row r="16" spans="1:26" ht="10" customHeight="1">
      <c r="A16">
        <v>15</v>
      </c>
      <c r="B16" s="2">
        <v>6670.59</v>
      </c>
      <c r="C16" s="2">
        <v>18293.099999999999</v>
      </c>
      <c r="D16" s="2">
        <v>17550.099999999999</v>
      </c>
      <c r="E16" s="2">
        <v>7969.64</v>
      </c>
      <c r="F16" s="2">
        <v>12196.5</v>
      </c>
    </row>
    <row r="17" spans="1:6" ht="10" customHeight="1">
      <c r="A17">
        <v>16</v>
      </c>
      <c r="B17" s="2">
        <v>6904.06</v>
      </c>
      <c r="C17" s="2">
        <v>18841.900000000001</v>
      </c>
      <c r="D17" s="2">
        <v>18076.599999999999</v>
      </c>
      <c r="E17" s="2">
        <v>8129.03</v>
      </c>
      <c r="F17" s="2">
        <v>12562.39</v>
      </c>
    </row>
    <row r="18" spans="1:6" ht="10" customHeight="1">
      <c r="A18">
        <v>17</v>
      </c>
      <c r="B18" s="2">
        <v>7145.7</v>
      </c>
      <c r="C18" s="2">
        <v>19407.150000000001</v>
      </c>
      <c r="D18" s="2">
        <v>18618.900000000001</v>
      </c>
      <c r="E18" s="2">
        <v>8291.61</v>
      </c>
      <c r="F18" s="2">
        <v>12939.26</v>
      </c>
    </row>
    <row r="19" spans="1:6" ht="10" customHeight="1">
      <c r="A19">
        <v>18</v>
      </c>
      <c r="B19" s="2">
        <v>7395.8</v>
      </c>
      <c r="C19" s="2">
        <v>19989.37</v>
      </c>
      <c r="D19" s="2">
        <v>19177.47</v>
      </c>
      <c r="E19" s="2">
        <v>8457.44</v>
      </c>
      <c r="F19" s="2">
        <v>13327.44</v>
      </c>
    </row>
    <row r="20" spans="1:6" ht="10" customHeight="1">
      <c r="A20">
        <v>19</v>
      </c>
      <c r="B20" s="2">
        <v>7654.65</v>
      </c>
      <c r="C20" s="2">
        <v>20589.05</v>
      </c>
      <c r="D20" s="2">
        <v>19752.79</v>
      </c>
      <c r="E20" s="2">
        <v>8626.59</v>
      </c>
      <c r="F20" s="2">
        <v>13727.26</v>
      </c>
    </row>
    <row r="21" spans="1:6" ht="10" customHeight="1">
      <c r="A21">
        <v>20</v>
      </c>
      <c r="B21" s="2">
        <v>7922.57</v>
      </c>
      <c r="C21" s="2">
        <v>21206.720000000001</v>
      </c>
      <c r="D21" s="2">
        <v>20345.38</v>
      </c>
      <c r="E21" s="2">
        <v>8799.1200000000008</v>
      </c>
      <c r="F21" s="2">
        <v>14139.08</v>
      </c>
    </row>
    <row r="22" spans="1:6" ht="10" customHeight="1">
      <c r="A22">
        <v>21</v>
      </c>
      <c r="B22" s="2">
        <v>8199.86</v>
      </c>
      <c r="C22" s="2">
        <v>21842.92</v>
      </c>
      <c r="D22" s="2">
        <v>20955.740000000002</v>
      </c>
      <c r="E22" s="2">
        <v>8975.1</v>
      </c>
      <c r="F22" s="2">
        <v>14563.25</v>
      </c>
    </row>
    <row r="23" spans="1:6" ht="10" customHeight="1">
      <c r="A23">
        <v>22</v>
      </c>
      <c r="B23" s="2">
        <v>8486.85</v>
      </c>
      <c r="C23" s="2">
        <v>22498.21</v>
      </c>
      <c r="D23" s="2">
        <v>21584.41</v>
      </c>
      <c r="E23" s="2">
        <v>9154.61</v>
      </c>
      <c r="F23" s="2">
        <v>15000.15</v>
      </c>
    </row>
    <row r="24" spans="1:6" ht="10" customHeight="1">
      <c r="A24">
        <v>23</v>
      </c>
      <c r="B24" s="2">
        <v>8783.89</v>
      </c>
      <c r="C24" s="2">
        <v>23173.16</v>
      </c>
      <c r="D24" s="2">
        <v>22231.94</v>
      </c>
      <c r="E24" s="2">
        <v>9337.7000000000007</v>
      </c>
      <c r="F24" s="2">
        <v>15450.16</v>
      </c>
    </row>
    <row r="25" spans="1:6" ht="10" customHeight="1">
      <c r="A25">
        <v>24</v>
      </c>
      <c r="B25" s="2">
        <v>9091.33</v>
      </c>
      <c r="C25" s="2">
        <v>23868.35</v>
      </c>
      <c r="D25" s="2">
        <v>22898.9</v>
      </c>
      <c r="E25" s="2">
        <v>9524.4500000000007</v>
      </c>
      <c r="F25" s="2">
        <v>15913.66</v>
      </c>
    </row>
    <row r="26" spans="1:6" ht="10" customHeight="1">
      <c r="A26">
        <v>25</v>
      </c>
      <c r="B26" s="2">
        <v>9409.5300000000007</v>
      </c>
      <c r="C26" s="2">
        <v>24584.400000000001</v>
      </c>
      <c r="D26" s="2">
        <v>23585.87</v>
      </c>
      <c r="E26" s="2">
        <v>9714.94</v>
      </c>
      <c r="F26" s="2">
        <v>16391.07</v>
      </c>
    </row>
    <row r="27" spans="1:6" ht="10" customHeight="1">
      <c r="A27">
        <v>26</v>
      </c>
      <c r="B27" s="2">
        <v>9738.86</v>
      </c>
      <c r="C27" s="2">
        <v>25321.93</v>
      </c>
      <c r="D27" s="2">
        <v>24293.439999999999</v>
      </c>
      <c r="E27" s="2">
        <v>9909.24</v>
      </c>
      <c r="F27" s="2">
        <v>16882.8</v>
      </c>
    </row>
    <row r="28" spans="1:6" ht="10" customHeight="1">
      <c r="A28">
        <v>27</v>
      </c>
      <c r="B28" s="2">
        <v>10079.719999999999</v>
      </c>
      <c r="C28" s="2">
        <v>26081.59</v>
      </c>
      <c r="D28" s="2">
        <v>25022.25</v>
      </c>
      <c r="E28" s="2">
        <v>10107.43</v>
      </c>
      <c r="F28" s="2">
        <v>17389.29</v>
      </c>
    </row>
    <row r="29" spans="1:6" ht="10" customHeight="1">
      <c r="A29">
        <v>28</v>
      </c>
      <c r="B29" s="2">
        <v>10432.51</v>
      </c>
      <c r="C29" s="2">
        <v>26864.04</v>
      </c>
      <c r="D29" s="2">
        <v>25772.91</v>
      </c>
      <c r="E29" s="2">
        <v>10309.57</v>
      </c>
      <c r="F29" s="2">
        <v>17910.96</v>
      </c>
    </row>
    <row r="30" spans="1:6" ht="10" customHeight="1">
      <c r="A30">
        <v>29</v>
      </c>
      <c r="B30" s="2">
        <v>10797.65</v>
      </c>
      <c r="C30" s="2">
        <v>27669.96</v>
      </c>
      <c r="D30" s="2">
        <v>26546.1</v>
      </c>
      <c r="E30" s="2">
        <v>10515.77</v>
      </c>
      <c r="F30" s="2">
        <v>18448.29</v>
      </c>
    </row>
    <row r="31" spans="1:6" ht="10" customHeight="1">
      <c r="A31">
        <v>30</v>
      </c>
      <c r="B31" s="2">
        <v>11175.56</v>
      </c>
      <c r="C31" s="2">
        <v>28500.06</v>
      </c>
      <c r="D31" s="2">
        <v>27342.48</v>
      </c>
      <c r="E31" s="2">
        <v>10726.08</v>
      </c>
      <c r="F31" s="2">
        <v>19001.740000000002</v>
      </c>
    </row>
  </sheetData>
  <pageMargins left="0.7" right="0.7" top="0.75" bottom="0.75" header="0.3" footer="0.3"/>
  <headerFooter>
    <oddHeader>&amp;R&amp;"Aptos"&amp;12&amp;K000000 #PÚBLICA&amp;1#_x000D_</odd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Painel</vt:lpstr>
      <vt:lpstr>Legenda</vt:lpstr>
      <vt:lpstr>DadosPCS</vt:lpstr>
      <vt:lpstr>DadosNovoPCS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2026-06-16T11:09:39Z</dcterms:created>
  <dcterms:modified xsi:type="dcterms:W3CDTF">2026-06-16T13:44:03Z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1f9524d-ac1c-47f3-bdf0-4724d255b272_Enabled">
    <vt:lpwstr>true</vt:lpwstr>
  </property>
  <property fmtid="{D5CDD505-2E9C-101B-9397-08002B2CF9AE}" pid="3" name="MSIP_Label_31f9524d-ac1c-47f3-bdf0-4724d255b272_SetDate">
    <vt:lpwstr>2026-06-15T21:30:29Z</vt:lpwstr>
  </property>
  <property fmtid="{D5CDD505-2E9C-101B-9397-08002B2CF9AE}" pid="4" name="MSIP_Label_31f9524d-ac1c-47f3-bdf0-4724d255b272_Method">
    <vt:lpwstr>Privileged</vt:lpwstr>
  </property>
  <property fmtid="{D5CDD505-2E9C-101B-9397-08002B2CF9AE}" pid="5" name="MSIP_Label_31f9524d-ac1c-47f3-bdf0-4724d255b272_Name">
    <vt:lpwstr>CLASSIFICAÇÃO PÚBLICA</vt:lpwstr>
  </property>
  <property fmtid="{D5CDD505-2E9C-101B-9397-08002B2CF9AE}" pid="6" name="MSIP_Label_31f9524d-ac1c-47f3-bdf0-4724d255b272_SiteId">
    <vt:lpwstr>ec8a6a0a-d9e4-4c1e-b499-6b85ac95eddf</vt:lpwstr>
  </property>
  <property fmtid="{D5CDD505-2E9C-101B-9397-08002B2CF9AE}" pid="7" name="MSIP_Label_31f9524d-ac1c-47f3-bdf0-4724d255b272_ActionId">
    <vt:lpwstr>194cee10-f5ec-439f-ad43-0aace888c2f3</vt:lpwstr>
  </property>
  <property fmtid="{D5CDD505-2E9C-101B-9397-08002B2CF9AE}" pid="8" name="MSIP_Label_31f9524d-ac1c-47f3-bdf0-4724d255b272_ContentBits">
    <vt:lpwstr>1</vt:lpwstr>
  </property>
  <property fmtid="{D5CDD505-2E9C-101B-9397-08002B2CF9AE}" pid="9" name="MSIP_Label_31f9524d-ac1c-47f3-bdf0-4724d255b272_Tag">
    <vt:lpwstr>10, 0, 1, 1</vt:lpwstr>
  </property>
</Properties>
</file>